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6" tabRatio="184" firstSheet="1" activeTab="2"/>
  </bookViews>
  <sheets>
    <sheet name="Data" sheetId="1" r:id="rId1"/>
    <sheet name="Cash flow" sheetId="2" r:id="rId2"/>
    <sheet name="MyPlan" sheetId="3" r:id="rId3"/>
    <sheet name="choices" sheetId="4" r:id="rId4"/>
    <sheet name="House values" sheetId="5" r:id="rId5"/>
    <sheet name="Popn. statistics" sheetId="6" r:id="rId6"/>
  </sheets>
  <calcPr calcId="145621" iterateDelta="1E-4"/>
</workbook>
</file>

<file path=xl/calcChain.xml><?xml version="1.0" encoding="utf-8"?>
<calcChain xmlns="http://schemas.openxmlformats.org/spreadsheetml/2006/main">
  <c r="Z6" i="2" l="1"/>
  <c r="AA6" i="2"/>
  <c r="C8" i="2"/>
  <c r="X10" i="2"/>
  <c r="Y6" i="2" s="1"/>
  <c r="Y10" i="2"/>
  <c r="Z10" i="2"/>
  <c r="Z11" i="2" s="1"/>
  <c r="AA10" i="2"/>
  <c r="X11" i="2"/>
  <c r="Y11" i="2"/>
  <c r="AA11" i="2"/>
  <c r="B22" i="2"/>
  <c r="D22" i="2"/>
  <c r="E22" i="2" s="1"/>
  <c r="F22" i="2" s="1"/>
  <c r="B32" i="2"/>
  <c r="D32" i="2"/>
  <c r="E32" i="2" s="1"/>
  <c r="D43" i="2"/>
  <c r="D10" i="4"/>
  <c r="F10" i="4"/>
  <c r="D12" i="4"/>
  <c r="E12" i="4"/>
  <c r="F12" i="4" s="1"/>
  <c r="A20" i="4"/>
  <c r="C20" i="4" s="1"/>
  <c r="A23" i="4" s="1"/>
  <c r="D23" i="4"/>
  <c r="C28" i="4"/>
  <c r="A32" i="4" s="1"/>
  <c r="D32" i="4"/>
  <c r="C39" i="4"/>
  <c r="C40" i="4"/>
  <c r="C41" i="4"/>
  <c r="E13" i="1"/>
  <c r="G14" i="1"/>
  <c r="B20" i="1"/>
  <c r="B46" i="1"/>
  <c r="C22" i="2" s="1"/>
  <c r="D46" i="1"/>
  <c r="E46" i="1" s="1"/>
  <c r="L46" i="1"/>
  <c r="N46" i="1"/>
  <c r="O46" i="1"/>
  <c r="Q46" i="1"/>
  <c r="Q47" i="1"/>
  <c r="Q48" i="1" s="1"/>
  <c r="Q49" i="1"/>
  <c r="Q50" i="1" s="1"/>
  <c r="Q51" i="1" s="1"/>
  <c r="Q52" i="1" s="1"/>
  <c r="Q53" i="1" s="1"/>
  <c r="Q54" i="1" s="1"/>
  <c r="Q55" i="1"/>
  <c r="Q56" i="1"/>
  <c r="Q57" i="1" s="1"/>
  <c r="Q58" i="1" s="1"/>
  <c r="Q59" i="1" s="1"/>
  <c r="Q60" i="1" s="1"/>
  <c r="Q61" i="1" s="1"/>
  <c r="Q62" i="1" s="1"/>
  <c r="Q63" i="1" s="1"/>
  <c r="Q64" i="1" s="1"/>
  <c r="Q65" i="1" s="1"/>
  <c r="E74" i="1"/>
  <c r="E76" i="1"/>
  <c r="E77" i="1"/>
  <c r="E79" i="1"/>
  <c r="E82" i="1"/>
  <c r="D8" i="5"/>
  <c r="E8" i="5"/>
  <c r="F8" i="5" s="1"/>
  <c r="G8" i="5" s="1"/>
  <c r="H8" i="5" s="1"/>
  <c r="I8" i="5" s="1"/>
  <c r="J8" i="5" s="1"/>
  <c r="K8" i="5" s="1"/>
  <c r="L8" i="5" s="1"/>
  <c r="M8" i="5" s="1"/>
  <c r="N8" i="5" s="1"/>
  <c r="O8" i="5" s="1"/>
  <c r="P8" i="5" s="1"/>
  <c r="Q8" i="5" s="1"/>
  <c r="R8" i="5" s="1"/>
  <c r="S8" i="5" s="1"/>
  <c r="T8" i="5" s="1"/>
  <c r="U8" i="5" s="1"/>
  <c r="V8" i="5" s="1"/>
  <c r="C11" i="5"/>
  <c r="AC12" i="5"/>
  <c r="D13" i="5"/>
  <c r="C17" i="5"/>
  <c r="B19" i="5"/>
  <c r="C22" i="5"/>
  <c r="D29" i="5"/>
  <c r="E29" i="5"/>
  <c r="F29" i="5"/>
  <c r="G29" i="5" s="1"/>
  <c r="H29" i="5" s="1"/>
  <c r="I29" i="5" s="1"/>
  <c r="J29" i="5" s="1"/>
  <c r="K29" i="5" s="1"/>
  <c r="L29" i="5" s="1"/>
  <c r="M29" i="5" s="1"/>
  <c r="N29" i="5" s="1"/>
  <c r="O29" i="5" s="1"/>
  <c r="P29" i="5" s="1"/>
  <c r="Q29" i="5" s="1"/>
  <c r="R29" i="5" s="1"/>
  <c r="S29" i="5" s="1"/>
  <c r="T29" i="5" s="1"/>
  <c r="U29" i="5" s="1"/>
  <c r="V29" i="5" s="1"/>
  <c r="Y29" i="5" s="1"/>
  <c r="C30" i="5"/>
  <c r="D30" i="5"/>
  <c r="E30" i="5" s="1"/>
  <c r="F30" i="5" s="1"/>
  <c r="G30" i="5" s="1"/>
  <c r="H30" i="5" s="1"/>
  <c r="I30" i="5" s="1"/>
  <c r="J30" i="5" s="1"/>
  <c r="K30" i="5" s="1"/>
  <c r="L30" i="5" s="1"/>
  <c r="M30" i="5" s="1"/>
  <c r="N30" i="5" s="1"/>
  <c r="O30" i="5" s="1"/>
  <c r="P30" i="5" s="1"/>
  <c r="Q30" i="5" s="1"/>
  <c r="R30" i="5" s="1"/>
  <c r="S30" i="5" s="1"/>
  <c r="T30" i="5" s="1"/>
  <c r="U30" i="5" s="1"/>
  <c r="V30" i="5" s="1"/>
  <c r="Y30" i="5" s="1"/>
  <c r="C32" i="5"/>
  <c r="C33" i="5" s="1"/>
  <c r="C35" i="5"/>
  <c r="D48" i="3"/>
  <c r="G48" i="3"/>
  <c r="H48" i="3"/>
  <c r="C119" i="3" s="1"/>
  <c r="B49" i="3"/>
  <c r="A68" i="3"/>
  <c r="A69" i="3"/>
  <c r="A70" i="3"/>
  <c r="A71" i="3"/>
  <c r="A81" i="3"/>
  <c r="A119"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84" i="3"/>
  <c r="D84" i="3" s="1"/>
  <c r="F84" i="3"/>
  <c r="G84" i="3" s="1"/>
  <c r="B117" i="3"/>
  <c r="D153" i="3"/>
  <c r="D154" i="3"/>
  <c r="D155" i="3"/>
  <c r="D156" i="3"/>
  <c r="D157" i="3"/>
  <c r="D158" i="3"/>
  <c r="D159" i="3"/>
  <c r="D160" i="3"/>
  <c r="D161" i="3"/>
  <c r="D162" i="3"/>
  <c r="C184" i="3"/>
  <c r="C185" i="3" s="1"/>
  <c r="D185" i="3" s="1"/>
  <c r="D5" i="6"/>
  <c r="D6" i="6"/>
  <c r="E6" i="6"/>
  <c r="F6" i="6"/>
  <c r="D7" i="6"/>
  <c r="E7" i="6" s="1"/>
  <c r="F7" i="6"/>
  <c r="D8" i="6"/>
  <c r="D9" i="6"/>
  <c r="E9" i="6" s="1"/>
  <c r="D10" i="6"/>
  <c r="E10" i="6"/>
  <c r="F10" i="6"/>
  <c r="D11" i="6"/>
  <c r="E11" i="6" s="1"/>
  <c r="F11" i="6"/>
  <c r="D16" i="6"/>
  <c r="F16" i="6"/>
  <c r="B35" i="6" s="1"/>
  <c r="D17" i="6"/>
  <c r="F17" i="6"/>
  <c r="B36" i="6" s="1"/>
  <c r="D18" i="6"/>
  <c r="F18" i="6" s="1"/>
  <c r="D19" i="6"/>
  <c r="D20" i="6"/>
  <c r="F20" i="6"/>
  <c r="B39" i="6" s="1"/>
  <c r="D21" i="6"/>
  <c r="F21" i="6"/>
  <c r="D22" i="6"/>
  <c r="F22" i="6" s="1"/>
  <c r="B41" i="6" s="1"/>
  <c r="B37" i="6"/>
  <c r="B40" i="6"/>
  <c r="AB29" i="5" l="1"/>
  <c r="AC29" i="5"/>
  <c r="B186" i="3"/>
  <c r="E185" i="3"/>
  <c r="AC30" i="5"/>
  <c r="AB30" i="5"/>
  <c r="D49" i="3"/>
  <c r="B50" i="3"/>
  <c r="E13" i="5"/>
  <c r="D17" i="5"/>
  <c r="D36" i="5"/>
  <c r="D22" i="5"/>
  <c r="D15" i="5"/>
  <c r="D9" i="5" s="1"/>
  <c r="C18" i="5"/>
  <c r="C19" i="5"/>
  <c r="D23" i="6"/>
  <c r="F19" i="6"/>
  <c r="E84" i="3"/>
  <c r="C20" i="5"/>
  <c r="E8" i="6"/>
  <c r="F8" i="6"/>
  <c r="F12" i="6" s="1"/>
  <c r="F13" i="6" s="1"/>
  <c r="B7" i="2" s="1"/>
  <c r="D7" i="2" s="1"/>
  <c r="E7" i="2" s="1"/>
  <c r="F7" i="2" s="1"/>
  <c r="G7" i="2" s="1"/>
  <c r="H7" i="2" s="1"/>
  <c r="I7" i="2" s="1"/>
  <c r="J7" i="2" s="1"/>
  <c r="K7" i="2" s="1"/>
  <c r="L7" i="2" s="1"/>
  <c r="M7" i="2" s="1"/>
  <c r="N7" i="2" s="1"/>
  <c r="O7" i="2" s="1"/>
  <c r="P7" i="2" s="1"/>
  <c r="Q7" i="2" s="1"/>
  <c r="R7" i="2" s="1"/>
  <c r="S7" i="2" s="1"/>
  <c r="T7" i="2" s="1"/>
  <c r="U7" i="2" s="1"/>
  <c r="V7" i="2" s="1"/>
  <c r="W7" i="2" s="1"/>
  <c r="F9" i="6"/>
  <c r="G49" i="3"/>
  <c r="E48" i="3"/>
  <c r="D119" i="3"/>
  <c r="G22" i="2"/>
  <c r="F43" i="2"/>
  <c r="B85" i="3"/>
  <c r="H46" i="1"/>
  <c r="R46" i="1"/>
  <c r="B47" i="1"/>
  <c r="C18" i="2"/>
  <c r="D20" i="1"/>
  <c r="B21" i="1"/>
  <c r="E43" i="2"/>
  <c r="F32" i="2"/>
  <c r="C9" i="2" l="1"/>
  <c r="A26" i="6"/>
  <c r="B26" i="6" s="1"/>
  <c r="E18" i="6"/>
  <c r="E20" i="6"/>
  <c r="E16" i="6"/>
  <c r="A34" i="6"/>
  <c r="D120" i="3"/>
  <c r="E49" i="3"/>
  <c r="H49" i="3"/>
  <c r="F185" i="3"/>
  <c r="G185" i="3"/>
  <c r="C218" i="3"/>
  <c r="D218" i="3" s="1"/>
  <c r="E15" i="5"/>
  <c r="E22" i="5"/>
  <c r="F13" i="5"/>
  <c r="E17" i="5"/>
  <c r="E36" i="5"/>
  <c r="E17" i="6"/>
  <c r="D186" i="3"/>
  <c r="B187" i="3" s="1"/>
  <c r="C186" i="3"/>
  <c r="G32" i="2"/>
  <c r="G20" i="1"/>
  <c r="I20" i="1"/>
  <c r="G43" i="2"/>
  <c r="H22" i="2"/>
  <c r="F23" i="6"/>
  <c r="F24" i="6" s="1"/>
  <c r="B38" i="6"/>
  <c r="B48" i="1"/>
  <c r="D47" i="1"/>
  <c r="L47" i="1"/>
  <c r="D10" i="5"/>
  <c r="D11" i="5"/>
  <c r="D32" i="5"/>
  <c r="D35" i="5"/>
  <c r="D37" i="5" s="1"/>
  <c r="D33" i="5"/>
  <c r="D21" i="1"/>
  <c r="B22" i="1"/>
  <c r="D18" i="2"/>
  <c r="C38" i="2"/>
  <c r="C39" i="2" s="1"/>
  <c r="D85" i="3"/>
  <c r="D86" i="3" s="1"/>
  <c r="C85" i="3"/>
  <c r="B86" i="3"/>
  <c r="E22" i="6"/>
  <c r="E21" i="6"/>
  <c r="C21" i="5"/>
  <c r="G50" i="3"/>
  <c r="B51" i="3"/>
  <c r="D50" i="3"/>
  <c r="E19" i="6"/>
  <c r="F15" i="5" l="1"/>
  <c r="F9" i="5" s="1"/>
  <c r="F22" i="5"/>
  <c r="G13" i="5"/>
  <c r="F36" i="5"/>
  <c r="F17" i="5"/>
  <c r="D51" i="3"/>
  <c r="B52" i="3"/>
  <c r="G51" i="3"/>
  <c r="D18" i="5"/>
  <c r="D19" i="5"/>
  <c r="D26" i="5" s="1"/>
  <c r="D27" i="5" s="1"/>
  <c r="D14" i="5"/>
  <c r="I22" i="2"/>
  <c r="H43" i="2"/>
  <c r="H32" i="2"/>
  <c r="I49" i="3"/>
  <c r="E85" i="3"/>
  <c r="C120" i="3"/>
  <c r="C39" i="6"/>
  <c r="D39" i="6" s="1"/>
  <c r="C35" i="6"/>
  <c r="D35" i="6" s="1"/>
  <c r="C37" i="6"/>
  <c r="D37" i="6" s="1"/>
  <c r="C41" i="6"/>
  <c r="D41" i="6" s="1"/>
  <c r="C40" i="6"/>
  <c r="D40" i="6" s="1"/>
  <c r="C36" i="6"/>
  <c r="D36" i="6" s="1"/>
  <c r="C86" i="3"/>
  <c r="B87" i="3"/>
  <c r="E18" i="2"/>
  <c r="D42" i="2"/>
  <c r="D38" i="2"/>
  <c r="D39" i="2" s="1"/>
  <c r="H20" i="1"/>
  <c r="E9" i="5"/>
  <c r="E16" i="5"/>
  <c r="F16" i="5" s="1"/>
  <c r="E186" i="3"/>
  <c r="F85" i="3"/>
  <c r="G85" i="3" s="1"/>
  <c r="E23" i="6"/>
  <c r="B9" i="2"/>
  <c r="B12" i="2" s="1"/>
  <c r="C10" i="2"/>
  <c r="H50" i="3"/>
  <c r="F86" i="3"/>
  <c r="G86" i="3" s="1"/>
  <c r="E50" i="3"/>
  <c r="D121" i="3"/>
  <c r="G21" i="1"/>
  <c r="I21" i="1"/>
  <c r="E47" i="1"/>
  <c r="H47" i="1"/>
  <c r="R47" i="1"/>
  <c r="J20" i="1"/>
  <c r="J21" i="1" s="1"/>
  <c r="D22" i="1"/>
  <c r="B23" i="1"/>
  <c r="M47" i="1"/>
  <c r="N47" i="1"/>
  <c r="L48" i="1"/>
  <c r="M48" i="1" s="1"/>
  <c r="D48" i="1"/>
  <c r="B49" i="1"/>
  <c r="C38" i="6"/>
  <c r="D38" i="6" s="1"/>
  <c r="C187" i="3"/>
  <c r="D187" i="3" s="1"/>
  <c r="B188" i="3" s="1"/>
  <c r="D188" i="3" l="1"/>
  <c r="B189" i="3" s="1"/>
  <c r="C188" i="3"/>
  <c r="C219" i="3"/>
  <c r="D219" i="3" s="1"/>
  <c r="E187" i="3"/>
  <c r="F186" i="3"/>
  <c r="G186" i="3"/>
  <c r="G17" i="5"/>
  <c r="H13" i="5"/>
  <c r="G22" i="5"/>
  <c r="G36" i="5"/>
  <c r="G15" i="5"/>
  <c r="G9" i="5" s="1"/>
  <c r="R48" i="1"/>
  <c r="E48" i="1"/>
  <c r="H48" i="1"/>
  <c r="J22" i="1"/>
  <c r="B88" i="3"/>
  <c r="C87" i="3"/>
  <c r="D20" i="5"/>
  <c r="D21" i="5" s="1"/>
  <c r="D23" i="1"/>
  <c r="B24" i="1"/>
  <c r="E10" i="5"/>
  <c r="E33" i="5"/>
  <c r="E32" i="5"/>
  <c r="E35" i="5"/>
  <c r="E37" i="5" s="1"/>
  <c r="I32" i="2"/>
  <c r="J22" i="2"/>
  <c r="I43" i="2"/>
  <c r="F32" i="5"/>
  <c r="F33" i="5"/>
  <c r="F35" i="5"/>
  <c r="F10" i="5"/>
  <c r="N48" i="1"/>
  <c r="O47" i="1"/>
  <c r="D6" i="2"/>
  <c r="C11" i="2"/>
  <c r="F18" i="2"/>
  <c r="E42" i="2"/>
  <c r="E44" i="2" s="1"/>
  <c r="E38" i="2"/>
  <c r="E39" i="2" s="1"/>
  <c r="E51" i="3"/>
  <c r="D122" i="3"/>
  <c r="H51" i="3"/>
  <c r="B50" i="1"/>
  <c r="L49" i="1"/>
  <c r="M49" i="1" s="1"/>
  <c r="D49" i="1"/>
  <c r="I22" i="1"/>
  <c r="G22" i="1"/>
  <c r="I50" i="3"/>
  <c r="C121" i="3"/>
  <c r="E86" i="3"/>
  <c r="H21" i="1"/>
  <c r="K20" i="1"/>
  <c r="L20" i="1" s="1"/>
  <c r="D44" i="2"/>
  <c r="G52" i="3"/>
  <c r="D52" i="3"/>
  <c r="B53" i="3"/>
  <c r="F37" i="5"/>
  <c r="D87" i="3"/>
  <c r="D88" i="3" s="1"/>
  <c r="E11" i="5" l="1"/>
  <c r="E18" i="5"/>
  <c r="D23" i="5"/>
  <c r="D24" i="5" s="1"/>
  <c r="H22" i="1"/>
  <c r="K21" i="1"/>
  <c r="I51" i="3"/>
  <c r="E87" i="3"/>
  <c r="C122" i="3"/>
  <c r="D9" i="2"/>
  <c r="D8" i="2"/>
  <c r="D10" i="2" s="1"/>
  <c r="J32" i="2"/>
  <c r="G35" i="5"/>
  <c r="G37" i="5" s="1"/>
  <c r="G33" i="5"/>
  <c r="G10" i="5"/>
  <c r="G32" i="5"/>
  <c r="F187" i="3"/>
  <c r="G187" i="3"/>
  <c r="E188" i="3"/>
  <c r="C220" i="3"/>
  <c r="D220" i="3" s="1"/>
  <c r="D53" i="3"/>
  <c r="B54" i="3"/>
  <c r="G53" i="3"/>
  <c r="F87" i="3"/>
  <c r="G87" i="3" s="1"/>
  <c r="G18" i="2"/>
  <c r="F38" i="2"/>
  <c r="F39" i="2" s="1"/>
  <c r="F42" i="2"/>
  <c r="K22" i="2"/>
  <c r="J43" i="2"/>
  <c r="C88" i="3"/>
  <c r="B89" i="3"/>
  <c r="I23" i="1"/>
  <c r="J23" i="1" s="1"/>
  <c r="G23" i="1"/>
  <c r="D89" i="3"/>
  <c r="H52" i="3"/>
  <c r="D123" i="3"/>
  <c r="E52" i="3"/>
  <c r="F88" i="3"/>
  <c r="G88" i="3" s="1"/>
  <c r="L21" i="1"/>
  <c r="M20" i="1"/>
  <c r="E49" i="1"/>
  <c r="H49" i="1"/>
  <c r="R49" i="1"/>
  <c r="L50" i="1"/>
  <c r="M50" i="1" s="1"/>
  <c r="D50" i="1"/>
  <c r="B51" i="1"/>
  <c r="C14" i="2"/>
  <c r="C12" i="2"/>
  <c r="C21" i="2" s="1"/>
  <c r="N49" i="1"/>
  <c r="O48" i="1"/>
  <c r="D24" i="1"/>
  <c r="B25" i="1"/>
  <c r="G16" i="5"/>
  <c r="I13" i="5"/>
  <c r="H17" i="5"/>
  <c r="H36" i="5"/>
  <c r="H15" i="5"/>
  <c r="H9" i="5" s="1"/>
  <c r="H22" i="5"/>
  <c r="C189" i="3"/>
  <c r="D189" i="3" s="1"/>
  <c r="B190" i="3" s="1"/>
  <c r="C190" i="3" l="1"/>
  <c r="D190" i="3" s="1"/>
  <c r="B191" i="3" s="1"/>
  <c r="G24" i="1"/>
  <c r="I24" i="1"/>
  <c r="L22" i="2"/>
  <c r="K43" i="2"/>
  <c r="D124" i="3"/>
  <c r="E53" i="3"/>
  <c r="F89" i="3"/>
  <c r="G89" i="3" s="1"/>
  <c r="H53" i="3"/>
  <c r="I15" i="5"/>
  <c r="I9" i="5" s="1"/>
  <c r="J13" i="5"/>
  <c r="I36" i="5"/>
  <c r="I17" i="5"/>
  <c r="I22" i="5"/>
  <c r="C89" i="3"/>
  <c r="B90" i="3"/>
  <c r="F44" i="2"/>
  <c r="E6" i="2"/>
  <c r="D11" i="2"/>
  <c r="H23" i="1"/>
  <c r="K22" i="1"/>
  <c r="H10" i="5"/>
  <c r="H35" i="5"/>
  <c r="H33" i="5"/>
  <c r="H32" i="5"/>
  <c r="H37" i="5"/>
  <c r="H16" i="5"/>
  <c r="I16" i="5" s="1"/>
  <c r="N50" i="1"/>
  <c r="O49" i="1"/>
  <c r="L22" i="1"/>
  <c r="M21" i="1"/>
  <c r="C123" i="3"/>
  <c r="E88" i="3"/>
  <c r="I52" i="3"/>
  <c r="C221" i="3"/>
  <c r="D221" i="3" s="1"/>
  <c r="G188" i="3"/>
  <c r="E189" i="3"/>
  <c r="F188" i="3"/>
  <c r="E20" i="5"/>
  <c r="C15" i="2"/>
  <c r="C17" i="2"/>
  <c r="R50" i="1"/>
  <c r="E50" i="1"/>
  <c r="H50" i="1"/>
  <c r="D25" i="1"/>
  <c r="B26" i="1"/>
  <c r="C23" i="2"/>
  <c r="B21" i="2"/>
  <c r="D51" i="1"/>
  <c r="B52" i="1"/>
  <c r="L51" i="1"/>
  <c r="M51" i="1" s="1"/>
  <c r="D90" i="3"/>
  <c r="H18" i="2"/>
  <c r="G38" i="2"/>
  <c r="G39" i="2" s="1"/>
  <c r="G42" i="2"/>
  <c r="G44" i="2" s="1"/>
  <c r="G54" i="3"/>
  <c r="B55" i="3"/>
  <c r="D54" i="3"/>
  <c r="K32" i="2"/>
  <c r="E19" i="5"/>
  <c r="E26" i="5" s="1"/>
  <c r="E27" i="5" s="1"/>
  <c r="E14" i="5"/>
  <c r="C191" i="3" l="1"/>
  <c r="D191" i="3"/>
  <c r="B192" i="3" s="1"/>
  <c r="C24" i="2"/>
  <c r="J15" i="5"/>
  <c r="J9" i="5" s="1"/>
  <c r="J22" i="5"/>
  <c r="J17" i="5"/>
  <c r="K13" i="5"/>
  <c r="J36" i="5"/>
  <c r="L32" i="2"/>
  <c r="D91" i="3"/>
  <c r="E51" i="1"/>
  <c r="H51" i="1"/>
  <c r="R51" i="1"/>
  <c r="D26" i="1"/>
  <c r="B27" i="1"/>
  <c r="F189" i="3"/>
  <c r="G189" i="3"/>
  <c r="E190" i="3"/>
  <c r="C222" i="3"/>
  <c r="D222" i="3" s="1"/>
  <c r="D12" i="2"/>
  <c r="D21" i="2" s="1"/>
  <c r="D23" i="2" s="1"/>
  <c r="D14" i="2"/>
  <c r="I10" i="5"/>
  <c r="I32" i="5"/>
  <c r="I33" i="5"/>
  <c r="I35" i="5"/>
  <c r="I37" i="5" s="1"/>
  <c r="H54" i="3"/>
  <c r="F90" i="3"/>
  <c r="G90" i="3" s="1"/>
  <c r="D125" i="3"/>
  <c r="E54" i="3"/>
  <c r="G25" i="1"/>
  <c r="I25" i="1"/>
  <c r="E21" i="5"/>
  <c r="N51" i="1"/>
  <c r="O50" i="1"/>
  <c r="E9" i="2"/>
  <c r="E8" i="2"/>
  <c r="E10" i="2" s="1"/>
  <c r="C90" i="3"/>
  <c r="B91" i="3"/>
  <c r="I53" i="3"/>
  <c r="E89" i="3"/>
  <c r="C124" i="3"/>
  <c r="J24" i="1"/>
  <c r="J25" i="1" s="1"/>
  <c r="D52" i="1"/>
  <c r="L52" i="1"/>
  <c r="M52" i="1" s="1"/>
  <c r="B53" i="1"/>
  <c r="M22" i="1"/>
  <c r="H24" i="1"/>
  <c r="K23" i="1"/>
  <c r="L23" i="1" s="1"/>
  <c r="D55" i="3"/>
  <c r="B56" i="3"/>
  <c r="G55" i="3"/>
  <c r="I18" i="2"/>
  <c r="H38" i="2"/>
  <c r="H39" i="2" s="1"/>
  <c r="H42" i="2"/>
  <c r="C19" i="2"/>
  <c r="C33" i="2"/>
  <c r="C34" i="2" s="1"/>
  <c r="J16" i="5"/>
  <c r="M22" i="2"/>
  <c r="L43" i="2"/>
  <c r="M23" i="1" l="1"/>
  <c r="C20" i="2"/>
  <c r="C26" i="2"/>
  <c r="C25" i="2"/>
  <c r="L53" i="1"/>
  <c r="M53" i="1" s="1"/>
  <c r="D53" i="1"/>
  <c r="B54" i="1"/>
  <c r="N52" i="1"/>
  <c r="O51" i="1"/>
  <c r="I54" i="3"/>
  <c r="C125" i="3"/>
  <c r="E90" i="3"/>
  <c r="D27" i="1"/>
  <c r="B28" i="1"/>
  <c r="N22" i="2"/>
  <c r="M43" i="2"/>
  <c r="G56" i="3"/>
  <c r="D56" i="3"/>
  <c r="B57" i="3"/>
  <c r="H25" i="1"/>
  <c r="K24" i="1"/>
  <c r="L24" i="1" s="1"/>
  <c r="F6" i="2"/>
  <c r="E11" i="2"/>
  <c r="F11" i="5"/>
  <c r="E23" i="5"/>
  <c r="E24" i="5" s="1"/>
  <c r="F18" i="5"/>
  <c r="C223" i="3"/>
  <c r="D223" i="3" s="1"/>
  <c r="E191" i="3"/>
  <c r="F190" i="3"/>
  <c r="G190" i="3"/>
  <c r="I26" i="1"/>
  <c r="J26" i="1" s="1"/>
  <c r="G26" i="1"/>
  <c r="J37" i="5"/>
  <c r="C192" i="3"/>
  <c r="D192" i="3" s="1"/>
  <c r="B193" i="3" s="1"/>
  <c r="E55" i="3"/>
  <c r="F91" i="3"/>
  <c r="G91" i="3" s="1"/>
  <c r="D126" i="3"/>
  <c r="H55" i="3"/>
  <c r="D17" i="2"/>
  <c r="D15" i="2"/>
  <c r="K17" i="5"/>
  <c r="K15" i="5"/>
  <c r="K9" i="5" s="1"/>
  <c r="K22" i="5"/>
  <c r="K36" i="5"/>
  <c r="L13" i="5"/>
  <c r="J32" i="5"/>
  <c r="J33" i="5"/>
  <c r="J35" i="5"/>
  <c r="J10" i="5"/>
  <c r="H44" i="2"/>
  <c r="J18" i="2"/>
  <c r="I42" i="2"/>
  <c r="I44" i="2" s="1"/>
  <c r="I38" i="2"/>
  <c r="I39" i="2" s="1"/>
  <c r="R52" i="1"/>
  <c r="E52" i="1"/>
  <c r="H52" i="1"/>
  <c r="B92" i="3"/>
  <c r="D92" i="3" s="1"/>
  <c r="C91" i="3"/>
  <c r="D24" i="2"/>
  <c r="M32" i="2"/>
  <c r="C193" i="3" l="1"/>
  <c r="D193" i="3"/>
  <c r="B194" i="3" s="1"/>
  <c r="D93" i="3"/>
  <c r="M24" i="1"/>
  <c r="F191" i="3"/>
  <c r="G191" i="3"/>
  <c r="E192" i="3"/>
  <c r="C224" i="3"/>
  <c r="D224" i="3" s="1"/>
  <c r="F19" i="5"/>
  <c r="F26" i="5" s="1"/>
  <c r="F27" i="5" s="1"/>
  <c r="F14" i="5"/>
  <c r="I27" i="1"/>
  <c r="J27" i="1" s="1"/>
  <c r="G27" i="1"/>
  <c r="N32" i="2"/>
  <c r="J38" i="2"/>
  <c r="J39" i="2" s="1"/>
  <c r="K18" i="2"/>
  <c r="J42" i="2"/>
  <c r="J44" i="2" s="1"/>
  <c r="E12" i="2"/>
  <c r="E21" i="2" s="1"/>
  <c r="E23" i="2" s="1"/>
  <c r="E14" i="2"/>
  <c r="H26" i="1"/>
  <c r="K25" i="1"/>
  <c r="L25" i="1" s="1"/>
  <c r="N53" i="1"/>
  <c r="O52" i="1"/>
  <c r="F20" i="5"/>
  <c r="D57" i="3"/>
  <c r="B58" i="3"/>
  <c r="G57" i="3"/>
  <c r="K33" i="5"/>
  <c r="K10" i="5"/>
  <c r="K32" i="5"/>
  <c r="K35" i="5"/>
  <c r="K37" i="5" s="1"/>
  <c r="D19" i="2"/>
  <c r="D33" i="2"/>
  <c r="D34" i="2" s="1"/>
  <c r="F8" i="2"/>
  <c r="F9" i="2"/>
  <c r="O22" i="2"/>
  <c r="N43" i="2"/>
  <c r="D54" i="1"/>
  <c r="L54" i="1"/>
  <c r="M54" i="1" s="1"/>
  <c r="B55" i="1"/>
  <c r="C92" i="3"/>
  <c r="B93" i="3"/>
  <c r="M13" i="5"/>
  <c r="L17" i="5"/>
  <c r="L36" i="5"/>
  <c r="L15" i="5"/>
  <c r="L9" i="5" s="1"/>
  <c r="L22" i="5"/>
  <c r="I55" i="3"/>
  <c r="E91" i="3"/>
  <c r="C126" i="3"/>
  <c r="K16" i="5"/>
  <c r="L16" i="5" s="1"/>
  <c r="H56" i="3"/>
  <c r="D127" i="3"/>
  <c r="E56" i="3"/>
  <c r="F92" i="3"/>
  <c r="G92" i="3" s="1"/>
  <c r="D28" i="1"/>
  <c r="B29" i="1"/>
  <c r="H53" i="1"/>
  <c r="E53" i="1"/>
  <c r="R53" i="1"/>
  <c r="C27" i="2"/>
  <c r="M25" i="1" l="1"/>
  <c r="E24" i="2"/>
  <c r="C28" i="2"/>
  <c r="C35" i="2"/>
  <c r="C36" i="2" s="1"/>
  <c r="C29" i="2"/>
  <c r="L10" i="5"/>
  <c r="L35" i="5"/>
  <c r="L33" i="5"/>
  <c r="L32" i="5"/>
  <c r="F10" i="2"/>
  <c r="F21" i="5"/>
  <c r="O32" i="2"/>
  <c r="D194" i="3"/>
  <c r="B195" i="3" s="1"/>
  <c r="C194" i="3"/>
  <c r="G28" i="1"/>
  <c r="I28" i="1"/>
  <c r="J28" i="1" s="1"/>
  <c r="C127" i="3"/>
  <c r="E92" i="3"/>
  <c r="I56" i="3"/>
  <c r="L37" i="5"/>
  <c r="G58" i="3"/>
  <c r="B59" i="3"/>
  <c r="D58" i="3"/>
  <c r="H27" i="1"/>
  <c r="K26" i="1"/>
  <c r="L26" i="1" s="1"/>
  <c r="C225" i="3"/>
  <c r="D225" i="3" s="1"/>
  <c r="G192" i="3"/>
  <c r="E193" i="3"/>
  <c r="F192" i="3"/>
  <c r="D94" i="3"/>
  <c r="D29" i="1"/>
  <c r="B30" i="1"/>
  <c r="M15" i="5"/>
  <c r="M9" i="5" s="1"/>
  <c r="N13" i="5"/>
  <c r="M17" i="5"/>
  <c r="M36" i="5"/>
  <c r="M22" i="5"/>
  <c r="R54" i="1"/>
  <c r="H54" i="1"/>
  <c r="E54" i="1"/>
  <c r="C93" i="3"/>
  <c r="B94" i="3"/>
  <c r="L55" i="1"/>
  <c r="M55" i="1" s="1"/>
  <c r="B56" i="1"/>
  <c r="D55" i="1"/>
  <c r="P22" i="2"/>
  <c r="O43" i="2"/>
  <c r="D20" i="2"/>
  <c r="D25" i="2"/>
  <c r="D26" i="2"/>
  <c r="D128" i="3"/>
  <c r="E57" i="3"/>
  <c r="F93" i="3"/>
  <c r="G93" i="3" s="1"/>
  <c r="H57" i="3"/>
  <c r="N54" i="1"/>
  <c r="O53" i="1"/>
  <c r="E17" i="2"/>
  <c r="E15" i="2"/>
  <c r="L18" i="2"/>
  <c r="K42" i="2"/>
  <c r="K38" i="2"/>
  <c r="K39" i="2" s="1"/>
  <c r="M26" i="1" l="1"/>
  <c r="I57" i="3"/>
  <c r="E93" i="3"/>
  <c r="C128" i="3"/>
  <c r="Q22" i="2"/>
  <c r="P43" i="2"/>
  <c r="D59" i="3"/>
  <c r="B60" i="3"/>
  <c r="G59" i="3"/>
  <c r="C195" i="3"/>
  <c r="D195" i="3" s="1"/>
  <c r="B196" i="3" s="1"/>
  <c r="G11" i="5"/>
  <c r="F23" i="5"/>
  <c r="F24" i="5" s="1"/>
  <c r="G18" i="5"/>
  <c r="E19" i="2"/>
  <c r="E33" i="2"/>
  <c r="E34" i="2" s="1"/>
  <c r="D27" i="2"/>
  <c r="H55" i="1"/>
  <c r="R55" i="1"/>
  <c r="E55" i="1"/>
  <c r="D30" i="1"/>
  <c r="B31" i="1"/>
  <c r="F11" i="2"/>
  <c r="G6" i="2"/>
  <c r="K44" i="2"/>
  <c r="D56" i="1"/>
  <c r="L56" i="1"/>
  <c r="M56" i="1" s="1"/>
  <c r="B57" i="1"/>
  <c r="C94" i="3"/>
  <c r="B95" i="3"/>
  <c r="G29" i="1"/>
  <c r="I29" i="1"/>
  <c r="J29" i="1" s="1"/>
  <c r="F193" i="3"/>
  <c r="G193" i="3"/>
  <c r="E194" i="3"/>
  <c r="C226" i="3"/>
  <c r="D226" i="3" s="1"/>
  <c r="H28" i="1"/>
  <c r="K27" i="1"/>
  <c r="L27" i="1" s="1"/>
  <c r="M10" i="5"/>
  <c r="M35" i="5"/>
  <c r="M37" i="5" s="1"/>
  <c r="M33" i="5"/>
  <c r="M32" i="5"/>
  <c r="M16" i="5"/>
  <c r="M18" i="2"/>
  <c r="L38" i="2"/>
  <c r="L39" i="2" s="1"/>
  <c r="L42" i="2"/>
  <c r="L44" i="2" s="1"/>
  <c r="N55" i="1"/>
  <c r="O54" i="1"/>
  <c r="N15" i="5"/>
  <c r="N9" i="5" s="1"/>
  <c r="N22" i="5"/>
  <c r="O13" i="5"/>
  <c r="N17" i="5"/>
  <c r="N36" i="5"/>
  <c r="D95" i="3"/>
  <c r="H58" i="3"/>
  <c r="F94" i="3"/>
  <c r="G94" i="3" s="1"/>
  <c r="D129" i="3"/>
  <c r="E58" i="3"/>
  <c r="P32" i="2"/>
  <c r="C30" i="2"/>
  <c r="C196" i="3" l="1"/>
  <c r="D196" i="3" s="1"/>
  <c r="B197" i="3" s="1"/>
  <c r="M27" i="1"/>
  <c r="R56" i="1"/>
  <c r="H56" i="1"/>
  <c r="E56" i="1"/>
  <c r="D35" i="2"/>
  <c r="D36" i="2" s="1"/>
  <c r="D28" i="2"/>
  <c r="Q32" i="2"/>
  <c r="I58" i="3"/>
  <c r="C129" i="3"/>
  <c r="E94" i="3"/>
  <c r="C227" i="3"/>
  <c r="D227" i="3" s="1"/>
  <c r="E195" i="3"/>
  <c r="F194" i="3"/>
  <c r="G194" i="3"/>
  <c r="F14" i="2"/>
  <c r="F12" i="2"/>
  <c r="F21" i="2" s="1"/>
  <c r="F23" i="2" s="1"/>
  <c r="Q43" i="2"/>
  <c r="R22" i="2"/>
  <c r="N16" i="5"/>
  <c r="G8" i="2"/>
  <c r="G10" i="2" s="1"/>
  <c r="G9" i="2"/>
  <c r="G20" i="5"/>
  <c r="D96" i="3"/>
  <c r="B58" i="1"/>
  <c r="D57" i="1"/>
  <c r="L57" i="1"/>
  <c r="M57" i="1" s="1"/>
  <c r="D31" i="1"/>
  <c r="B32" i="1"/>
  <c r="E20" i="2"/>
  <c r="E25" i="2"/>
  <c r="E27" i="2" s="1"/>
  <c r="E26" i="2"/>
  <c r="G19" i="5"/>
  <c r="G26" i="5" s="1"/>
  <c r="G27" i="5" s="1"/>
  <c r="G14" i="5"/>
  <c r="G60" i="3"/>
  <c r="D60" i="3"/>
  <c r="B61" i="3"/>
  <c r="N32" i="5"/>
  <c r="N33" i="5"/>
  <c r="N35" i="5"/>
  <c r="N10" i="5"/>
  <c r="N56" i="1"/>
  <c r="O55" i="1"/>
  <c r="D29" i="2"/>
  <c r="O17" i="5"/>
  <c r="P13" i="5"/>
  <c r="O15" i="5"/>
  <c r="O9" i="5" s="1"/>
  <c r="O22" i="5"/>
  <c r="O36" i="5"/>
  <c r="N37" i="5"/>
  <c r="N18" i="2"/>
  <c r="M38" i="2"/>
  <c r="M39" i="2" s="1"/>
  <c r="M42" i="2"/>
  <c r="M44" i="2" s="1"/>
  <c r="H29" i="1"/>
  <c r="K28" i="1"/>
  <c r="L28" i="1" s="1"/>
  <c r="B96" i="3"/>
  <c r="C95" i="3"/>
  <c r="I30" i="1"/>
  <c r="J30" i="1" s="1"/>
  <c r="G30" i="1"/>
  <c r="E59" i="3"/>
  <c r="F95" i="3"/>
  <c r="G95" i="3" s="1"/>
  <c r="H59" i="3"/>
  <c r="D130" i="3"/>
  <c r="M28" i="1" l="1"/>
  <c r="C197" i="3"/>
  <c r="D197" i="3" s="1"/>
  <c r="B198" i="3" s="1"/>
  <c r="H30" i="1"/>
  <c r="K29" i="1"/>
  <c r="L29" i="1" s="1"/>
  <c r="D97" i="3"/>
  <c r="I59" i="3"/>
  <c r="E95" i="3"/>
  <c r="C130" i="3"/>
  <c r="O18" i="2"/>
  <c r="N38" i="2"/>
  <c r="N39" i="2" s="1"/>
  <c r="N42" i="2"/>
  <c r="N44" i="2" s="1"/>
  <c r="N57" i="1"/>
  <c r="O56" i="1"/>
  <c r="E28" i="2"/>
  <c r="E35" i="2"/>
  <c r="R32" i="2"/>
  <c r="E29" i="2"/>
  <c r="D30" i="2"/>
  <c r="H57" i="1"/>
  <c r="R57" i="1"/>
  <c r="E57" i="1"/>
  <c r="H6" i="2"/>
  <c r="G11" i="2"/>
  <c r="Q13" i="5"/>
  <c r="P17" i="5"/>
  <c r="P36" i="5"/>
  <c r="P22" i="5"/>
  <c r="P15" i="5"/>
  <c r="P9" i="5" s="1"/>
  <c r="D61" i="3"/>
  <c r="B62" i="3"/>
  <c r="G61" i="3"/>
  <c r="B33" i="1"/>
  <c r="D32" i="1"/>
  <c r="D58" i="1"/>
  <c r="L58" i="1"/>
  <c r="M58" i="1" s="1"/>
  <c r="B59" i="1"/>
  <c r="G21" i="5"/>
  <c r="O16" i="5"/>
  <c r="P16" i="5" s="1"/>
  <c r="F24" i="2"/>
  <c r="F195" i="3"/>
  <c r="G195" i="3"/>
  <c r="E196" i="3"/>
  <c r="C228" i="3"/>
  <c r="D228" i="3" s="1"/>
  <c r="O32" i="5"/>
  <c r="O10" i="5"/>
  <c r="O33" i="5"/>
  <c r="O35" i="5"/>
  <c r="O37" i="5" s="1"/>
  <c r="C96" i="3"/>
  <c r="B97" i="3"/>
  <c r="H60" i="3"/>
  <c r="D131" i="3"/>
  <c r="E60" i="3"/>
  <c r="F96" i="3"/>
  <c r="G96" i="3" s="1"/>
  <c r="I31" i="1"/>
  <c r="J31" i="1" s="1"/>
  <c r="G31" i="1"/>
  <c r="S22" i="2"/>
  <c r="R43" i="2"/>
  <c r="F15" i="2"/>
  <c r="F17" i="2"/>
  <c r="E36" i="2"/>
  <c r="M29" i="1" l="1"/>
  <c r="D198" i="3"/>
  <c r="B199" i="3" s="1"/>
  <c r="C198" i="3"/>
  <c r="D33" i="1"/>
  <c r="B34" i="1"/>
  <c r="E30" i="2"/>
  <c r="N58" i="1"/>
  <c r="O57" i="1"/>
  <c r="D98" i="3"/>
  <c r="H11" i="5"/>
  <c r="H18" i="5"/>
  <c r="G23" i="5"/>
  <c r="G24" i="5" s="1"/>
  <c r="Q15" i="5"/>
  <c r="Q9" i="5" s="1"/>
  <c r="R13" i="5"/>
  <c r="Q36" i="5"/>
  <c r="Q22" i="5"/>
  <c r="Q17" i="5"/>
  <c r="S32" i="2"/>
  <c r="Q16" i="5"/>
  <c r="P10" i="5"/>
  <c r="P33" i="5"/>
  <c r="P32" i="5"/>
  <c r="P35" i="5"/>
  <c r="C131" i="3"/>
  <c r="E96" i="3"/>
  <c r="I60" i="3"/>
  <c r="T22" i="2"/>
  <c r="S43" i="2"/>
  <c r="D59" i="1"/>
  <c r="B60" i="1"/>
  <c r="L59" i="1"/>
  <c r="M59" i="1" s="1"/>
  <c r="R58" i="1"/>
  <c r="E58" i="1"/>
  <c r="H58" i="1"/>
  <c r="G62" i="3"/>
  <c r="B63" i="3"/>
  <c r="D62" i="3"/>
  <c r="P37" i="5"/>
  <c r="G14" i="2"/>
  <c r="G12" i="2"/>
  <c r="G21" i="2" s="1"/>
  <c r="G23" i="2" s="1"/>
  <c r="H31" i="1"/>
  <c r="K30" i="1"/>
  <c r="L30" i="1" s="1"/>
  <c r="P18" i="2"/>
  <c r="O42" i="2"/>
  <c r="O44" i="2" s="1"/>
  <c r="O38" i="2"/>
  <c r="O39" i="2" s="1"/>
  <c r="F19" i="2"/>
  <c r="F33" i="2"/>
  <c r="F34" i="2" s="1"/>
  <c r="C97" i="3"/>
  <c r="B98" i="3"/>
  <c r="C229" i="3"/>
  <c r="D229" i="3" s="1"/>
  <c r="G196" i="3"/>
  <c r="E197" i="3"/>
  <c r="F196" i="3"/>
  <c r="G32" i="1"/>
  <c r="I32" i="1"/>
  <c r="J32" i="1" s="1"/>
  <c r="D132" i="3"/>
  <c r="E61" i="3"/>
  <c r="F97" i="3"/>
  <c r="G97" i="3" s="1"/>
  <c r="H61" i="3"/>
  <c r="H9" i="2"/>
  <c r="H8" i="2"/>
  <c r="M30" i="1" l="1"/>
  <c r="J33" i="1"/>
  <c r="H59" i="1"/>
  <c r="E59" i="1"/>
  <c r="R59" i="1"/>
  <c r="Q37" i="5"/>
  <c r="Q18" i="2"/>
  <c r="P42" i="2"/>
  <c r="P44" i="2" s="1"/>
  <c r="P38" i="2"/>
  <c r="P39" i="2" s="1"/>
  <c r="G15" i="2"/>
  <c r="G17" i="2"/>
  <c r="T32" i="2"/>
  <c r="D34" i="1"/>
  <c r="B35" i="1"/>
  <c r="F197" i="3"/>
  <c r="G197" i="3"/>
  <c r="E198" i="3"/>
  <c r="C230" i="3"/>
  <c r="D230" i="3" s="1"/>
  <c r="G24" i="2"/>
  <c r="C199" i="3"/>
  <c r="D199" i="3" s="1"/>
  <c r="B200" i="3" s="1"/>
  <c r="H10" i="2"/>
  <c r="F20" i="2"/>
  <c r="F26" i="2"/>
  <c r="F25" i="2"/>
  <c r="R16" i="5"/>
  <c r="R15" i="5"/>
  <c r="R9" i="5" s="1"/>
  <c r="R22" i="5"/>
  <c r="R17" i="5"/>
  <c r="R36" i="5"/>
  <c r="S13" i="5"/>
  <c r="H20" i="5"/>
  <c r="H21" i="5"/>
  <c r="N59" i="1"/>
  <c r="O58" i="1"/>
  <c r="G33" i="1"/>
  <c r="I33" i="1"/>
  <c r="I61" i="3"/>
  <c r="E97" i="3"/>
  <c r="C132" i="3"/>
  <c r="B64" i="3"/>
  <c r="G63" i="3"/>
  <c r="D99" i="3"/>
  <c r="C98" i="3"/>
  <c r="B99" i="3"/>
  <c r="H32" i="1"/>
  <c r="K31" i="1"/>
  <c r="L31" i="1" s="1"/>
  <c r="D63" i="3"/>
  <c r="H62" i="3"/>
  <c r="F98" i="3"/>
  <c r="G98" i="3" s="1"/>
  <c r="E62" i="3"/>
  <c r="E63" i="3" s="1"/>
  <c r="E64" i="3" s="1"/>
  <c r="E65" i="3" s="1"/>
  <c r="E66" i="3" s="1"/>
  <c r="E67" i="3" s="1"/>
  <c r="E68" i="3" s="1"/>
  <c r="E69" i="3" s="1"/>
  <c r="E70" i="3" s="1"/>
  <c r="E71" i="3" s="1"/>
  <c r="E72" i="3" s="1"/>
  <c r="D133" i="3"/>
  <c r="D60" i="1"/>
  <c r="B61" i="1"/>
  <c r="L60" i="1"/>
  <c r="M60" i="1" s="1"/>
  <c r="U22" i="2"/>
  <c r="T43" i="2"/>
  <c r="Q10" i="5"/>
  <c r="Q35" i="5"/>
  <c r="Q33" i="5"/>
  <c r="Q32" i="5"/>
  <c r="H19" i="5"/>
  <c r="H26" i="5" s="1"/>
  <c r="H27" i="5" s="1"/>
  <c r="H14" i="5"/>
  <c r="M31" i="1" l="1"/>
  <c r="C200" i="3"/>
  <c r="D200" i="3" s="1"/>
  <c r="B201" i="3" s="1"/>
  <c r="F99" i="3"/>
  <c r="G99" i="3" s="1"/>
  <c r="D64" i="3"/>
  <c r="D134" i="3"/>
  <c r="H63" i="3"/>
  <c r="I11" i="5"/>
  <c r="I18" i="5"/>
  <c r="H23" i="5"/>
  <c r="H24" i="5" s="1"/>
  <c r="S16" i="5"/>
  <c r="I34" i="1"/>
  <c r="G34" i="1"/>
  <c r="U32" i="2"/>
  <c r="J34" i="1"/>
  <c r="V22" i="2"/>
  <c r="U43" i="2"/>
  <c r="R60" i="1"/>
  <c r="E60" i="1"/>
  <c r="E61" i="1" s="1"/>
  <c r="E62" i="1" s="1"/>
  <c r="E63" i="1" s="1"/>
  <c r="E64" i="1" s="1"/>
  <c r="E65" i="1" s="1"/>
  <c r="E67" i="1" s="1"/>
  <c r="H60" i="1"/>
  <c r="D61" i="1"/>
  <c r="H33" i="1"/>
  <c r="K32" i="1"/>
  <c r="L32" i="1" s="1"/>
  <c r="S17" i="5"/>
  <c r="S15" i="5"/>
  <c r="S9" i="5" s="1"/>
  <c r="T13" i="5"/>
  <c r="S22" i="5"/>
  <c r="S36" i="5"/>
  <c r="F27" i="2"/>
  <c r="L61" i="1"/>
  <c r="M61" i="1" s="1"/>
  <c r="B62" i="1"/>
  <c r="C231" i="3"/>
  <c r="D231" i="3" s="1"/>
  <c r="E199" i="3"/>
  <c r="F198" i="3"/>
  <c r="G198" i="3"/>
  <c r="G19" i="2"/>
  <c r="G33" i="2"/>
  <c r="G34" i="2" s="1"/>
  <c r="Q38" i="2"/>
  <c r="Q39" i="2" s="1"/>
  <c r="R18" i="2"/>
  <c r="Q42" i="2"/>
  <c r="Q44" i="2" s="1"/>
  <c r="I6" i="2"/>
  <c r="H11" i="2"/>
  <c r="I62" i="3"/>
  <c r="C133" i="3"/>
  <c r="E98" i="3"/>
  <c r="B100" i="3"/>
  <c r="C99" i="3"/>
  <c r="G64" i="3"/>
  <c r="B65" i="3"/>
  <c r="N60" i="1"/>
  <c r="O59" i="1"/>
  <c r="R32" i="5"/>
  <c r="R33" i="5"/>
  <c r="R35" i="5"/>
  <c r="R37" i="5" s="1"/>
  <c r="R10" i="5"/>
  <c r="B36" i="1"/>
  <c r="D35" i="1"/>
  <c r="M32" i="1" l="1"/>
  <c r="C201" i="3"/>
  <c r="D201" i="3" s="1"/>
  <c r="B202" i="3" s="1"/>
  <c r="C100" i="3"/>
  <c r="B101" i="3"/>
  <c r="F28" i="2"/>
  <c r="F35" i="2"/>
  <c r="F36" i="2" s="1"/>
  <c r="F29" i="2"/>
  <c r="U13" i="5"/>
  <c r="T17" i="5"/>
  <c r="T15" i="5"/>
  <c r="T9" i="5" s="1"/>
  <c r="T22" i="5"/>
  <c r="T36" i="5"/>
  <c r="I63" i="3"/>
  <c r="E99" i="3"/>
  <c r="C134" i="3"/>
  <c r="I9" i="2"/>
  <c r="I8" i="2"/>
  <c r="I10" i="2" s="1"/>
  <c r="H34" i="1"/>
  <c r="K33" i="1"/>
  <c r="L33" i="1" s="1"/>
  <c r="D36" i="1"/>
  <c r="B37" i="1"/>
  <c r="H12" i="2"/>
  <c r="H21" i="2" s="1"/>
  <c r="H23" i="2" s="1"/>
  <c r="H14" i="2"/>
  <c r="D100" i="3"/>
  <c r="D101" i="3" s="1"/>
  <c r="T16" i="5"/>
  <c r="B66" i="3"/>
  <c r="G65" i="3"/>
  <c r="S10" i="5"/>
  <c r="S35" i="5"/>
  <c r="S37" i="5" s="1"/>
  <c r="S33" i="5"/>
  <c r="S32" i="5"/>
  <c r="F199" i="3"/>
  <c r="G199" i="3"/>
  <c r="E200" i="3"/>
  <c r="C232" i="3"/>
  <c r="D232" i="3" s="1"/>
  <c r="H61" i="1"/>
  <c r="D62" i="1"/>
  <c r="R61" i="1"/>
  <c r="I20" i="5"/>
  <c r="D65" i="3"/>
  <c r="H64" i="3"/>
  <c r="D135" i="3"/>
  <c r="F100" i="3"/>
  <c r="G100" i="3" s="1"/>
  <c r="N61" i="1"/>
  <c r="O60" i="1"/>
  <c r="R38" i="2"/>
  <c r="R39" i="2" s="1"/>
  <c r="S18" i="2"/>
  <c r="R42" i="2"/>
  <c r="R44" i="2" s="1"/>
  <c r="L62" i="1"/>
  <c r="M62" i="1" s="1"/>
  <c r="B63" i="1"/>
  <c r="I35" i="1"/>
  <c r="J35" i="1" s="1"/>
  <c r="G35" i="1"/>
  <c r="G20" i="2"/>
  <c r="G26" i="2"/>
  <c r="G25" i="2"/>
  <c r="G27" i="2" s="1"/>
  <c r="W22" i="2"/>
  <c r="W43" i="2" s="1"/>
  <c r="V43" i="2"/>
  <c r="V32" i="2"/>
  <c r="I19" i="5"/>
  <c r="I26" i="5" s="1"/>
  <c r="I27" i="5" s="1"/>
  <c r="I14" i="5"/>
  <c r="M33" i="1" l="1"/>
  <c r="C202" i="3"/>
  <c r="D202" i="3" s="1"/>
  <c r="B203" i="3" s="1"/>
  <c r="T18" i="2"/>
  <c r="S42" i="2"/>
  <c r="S44" i="2" s="1"/>
  <c r="S38" i="2"/>
  <c r="S39" i="2" s="1"/>
  <c r="I21" i="5"/>
  <c r="R62" i="1"/>
  <c r="H62" i="1"/>
  <c r="D63" i="1"/>
  <c r="C233" i="3"/>
  <c r="D233" i="3" s="1"/>
  <c r="G200" i="3"/>
  <c r="E201" i="3"/>
  <c r="F200" i="3"/>
  <c r="G36" i="1"/>
  <c r="I36" i="1"/>
  <c r="J36" i="1" s="1"/>
  <c r="H15" i="2"/>
  <c r="H17" i="2"/>
  <c r="T37" i="5"/>
  <c r="C135" i="3"/>
  <c r="E100" i="3"/>
  <c r="I64" i="3"/>
  <c r="G66" i="3"/>
  <c r="B67" i="3"/>
  <c r="H24" i="2"/>
  <c r="H35" i="1"/>
  <c r="K34" i="1"/>
  <c r="L34" i="1" s="1"/>
  <c r="U15" i="5"/>
  <c r="U9" i="5" s="1"/>
  <c r="V13" i="5"/>
  <c r="U22" i="5"/>
  <c r="U36" i="5"/>
  <c r="U17" i="5"/>
  <c r="C101" i="3"/>
  <c r="B102" i="3"/>
  <c r="G28" i="2"/>
  <c r="G35" i="2"/>
  <c r="G36" i="2" s="1"/>
  <c r="L63" i="1"/>
  <c r="M63" i="1" s="1"/>
  <c r="B64" i="1"/>
  <c r="W32" i="2"/>
  <c r="X43" i="2"/>
  <c r="N62" i="1"/>
  <c r="O61" i="1"/>
  <c r="D136" i="3"/>
  <c r="F101" i="3"/>
  <c r="G101" i="3" s="1"/>
  <c r="H65" i="3"/>
  <c r="D66" i="3"/>
  <c r="D37" i="1"/>
  <c r="B38" i="1"/>
  <c r="J6" i="2"/>
  <c r="I11" i="2"/>
  <c r="T10" i="5"/>
  <c r="T32" i="5"/>
  <c r="T33" i="5"/>
  <c r="T35" i="5"/>
  <c r="G29" i="2"/>
  <c r="F30" i="2"/>
  <c r="C203" i="3" l="1"/>
  <c r="D203" i="3"/>
  <c r="B204" i="3" s="1"/>
  <c r="M34" i="1"/>
  <c r="J8" i="2"/>
  <c r="J9" i="2"/>
  <c r="G30" i="2"/>
  <c r="D38" i="1"/>
  <c r="B39" i="1"/>
  <c r="D39" i="1" s="1"/>
  <c r="I65" i="3"/>
  <c r="E101" i="3"/>
  <c r="C136" i="3"/>
  <c r="N63" i="1"/>
  <c r="O62" i="1"/>
  <c r="C102" i="3"/>
  <c r="B103" i="3"/>
  <c r="U37" i="5"/>
  <c r="H19" i="2"/>
  <c r="H33" i="2"/>
  <c r="H34" i="2" s="1"/>
  <c r="F201" i="3"/>
  <c r="G201" i="3"/>
  <c r="E202" i="3"/>
  <c r="C234" i="3"/>
  <c r="D234" i="3" s="1"/>
  <c r="U10" i="5"/>
  <c r="U33" i="5"/>
  <c r="U32" i="5"/>
  <c r="U35" i="5"/>
  <c r="G37" i="1"/>
  <c r="I37" i="1"/>
  <c r="J37" i="1" s="1"/>
  <c r="B68" i="3"/>
  <c r="G67" i="3"/>
  <c r="U18" i="2"/>
  <c r="T42" i="2"/>
  <c r="T44" i="2" s="1"/>
  <c r="T38" i="2"/>
  <c r="T39" i="2" s="1"/>
  <c r="D67" i="3"/>
  <c r="H66" i="3"/>
  <c r="D137" i="3"/>
  <c r="H63" i="1"/>
  <c r="D64" i="1"/>
  <c r="R63" i="1"/>
  <c r="I12" i="2"/>
  <c r="I21" i="2" s="1"/>
  <c r="I23" i="2" s="1"/>
  <c r="I14" i="2"/>
  <c r="U16" i="5"/>
  <c r="V16" i="5" s="1"/>
  <c r="B65" i="1"/>
  <c r="L64" i="1"/>
  <c r="M64" i="1" s="1"/>
  <c r="V15" i="5"/>
  <c r="V9" i="5" s="1"/>
  <c r="V22" i="5"/>
  <c r="Y13" i="5"/>
  <c r="V36" i="5"/>
  <c r="V17" i="5"/>
  <c r="H36" i="1"/>
  <c r="K35" i="1"/>
  <c r="L35" i="1" s="1"/>
  <c r="D102" i="3"/>
  <c r="J11" i="5"/>
  <c r="J18" i="5"/>
  <c r="I23" i="5"/>
  <c r="I24" i="5" s="1"/>
  <c r="M35" i="1" l="1"/>
  <c r="H37" i="1"/>
  <c r="K36" i="1"/>
  <c r="L36" i="1" s="1"/>
  <c r="N64" i="1"/>
  <c r="O63" i="1"/>
  <c r="I39" i="1"/>
  <c r="I40" i="1" s="1"/>
  <c r="K40" i="1" s="1"/>
  <c r="G39" i="1"/>
  <c r="D40" i="1"/>
  <c r="J19" i="5"/>
  <c r="J26" i="5" s="1"/>
  <c r="J27" i="5" s="1"/>
  <c r="J14" i="5"/>
  <c r="I24" i="2"/>
  <c r="B104" i="3"/>
  <c r="C103" i="3"/>
  <c r="I38" i="1"/>
  <c r="J38" i="1" s="1"/>
  <c r="J39" i="1" s="1"/>
  <c r="G38" i="1"/>
  <c r="J10" i="2"/>
  <c r="D103" i="3"/>
  <c r="D104" i="3" s="1"/>
  <c r="V32" i="5"/>
  <c r="V33" i="5"/>
  <c r="V35" i="5"/>
  <c r="V37" i="5" s="1"/>
  <c r="V10" i="5"/>
  <c r="F102" i="3"/>
  <c r="G102" i="3" s="1"/>
  <c r="J20" i="5"/>
  <c r="J21" i="5"/>
  <c r="AC13" i="5"/>
  <c r="Y17" i="5"/>
  <c r="AB13" i="5"/>
  <c r="I17" i="2"/>
  <c r="I15" i="2"/>
  <c r="F103" i="3"/>
  <c r="G103" i="3" s="1"/>
  <c r="H67" i="3"/>
  <c r="D68" i="3"/>
  <c r="D138" i="3"/>
  <c r="C204" i="3"/>
  <c r="D204" i="3" s="1"/>
  <c r="B205" i="3" s="1"/>
  <c r="L65" i="1"/>
  <c r="M65" i="1" s="1"/>
  <c r="G68" i="3"/>
  <c r="B69" i="3"/>
  <c r="Y36" i="5"/>
  <c r="R64" i="1"/>
  <c r="H64" i="1"/>
  <c r="D65" i="1"/>
  <c r="I66" i="3"/>
  <c r="C137" i="3"/>
  <c r="E102" i="3"/>
  <c r="V18" i="2"/>
  <c r="U42" i="2"/>
  <c r="U44" i="2" s="1"/>
  <c r="U38" i="2"/>
  <c r="U39" i="2" s="1"/>
  <c r="C235" i="3"/>
  <c r="D235" i="3" s="1"/>
  <c r="E203" i="3"/>
  <c r="G202" i="3"/>
  <c r="F202" i="3"/>
  <c r="H25" i="2"/>
  <c r="H27" i="2" s="1"/>
  <c r="H26" i="2"/>
  <c r="H20" i="2"/>
  <c r="M36" i="1" l="1"/>
  <c r="C205" i="3"/>
  <c r="D205" i="3"/>
  <c r="AB17" i="5"/>
  <c r="K18" i="5"/>
  <c r="J23" i="5"/>
  <c r="J24" i="5" s="1"/>
  <c r="K11" i="5"/>
  <c r="H38" i="1"/>
  <c r="K37" i="1"/>
  <c r="L37" i="1" s="1"/>
  <c r="AC36" i="5"/>
  <c r="AB36" i="5"/>
  <c r="I41" i="1"/>
  <c r="E40" i="1"/>
  <c r="F203" i="3"/>
  <c r="G203" i="3"/>
  <c r="E204" i="3"/>
  <c r="C236" i="3"/>
  <c r="D236" i="3" s="1"/>
  <c r="W18" i="2"/>
  <c r="V38" i="2"/>
  <c r="V39" i="2" s="1"/>
  <c r="V42" i="2"/>
  <c r="V44" i="2" s="1"/>
  <c r="H65" i="1"/>
  <c r="D67" i="1"/>
  <c r="R65" i="1"/>
  <c r="J11" i="2"/>
  <c r="K6" i="2"/>
  <c r="G40" i="1"/>
  <c r="H40" i="1" s="1"/>
  <c r="N65" i="1"/>
  <c r="O65" i="1" s="1"/>
  <c r="O64" i="1"/>
  <c r="I67" i="3"/>
  <c r="E103" i="3"/>
  <c r="C138" i="3"/>
  <c r="H35" i="2"/>
  <c r="H36" i="2" s="1"/>
  <c r="H28" i="2"/>
  <c r="H29" i="2"/>
  <c r="G69" i="3"/>
  <c r="B70" i="3"/>
  <c r="D139" i="3"/>
  <c r="D69" i="3"/>
  <c r="F104" i="3"/>
  <c r="G104" i="3" s="1"/>
  <c r="H68" i="3"/>
  <c r="I19" i="2"/>
  <c r="I33" i="2"/>
  <c r="I34" i="2" s="1"/>
  <c r="AC17" i="5"/>
  <c r="C104" i="3"/>
  <c r="B105" i="3"/>
  <c r="D105" i="3" s="1"/>
  <c r="M37" i="1" l="1"/>
  <c r="H30" i="2"/>
  <c r="I25" i="2"/>
  <c r="I20" i="2"/>
  <c r="I26" i="2"/>
  <c r="K20" i="5"/>
  <c r="B106" i="3"/>
  <c r="C105" i="3"/>
  <c r="D140" i="3"/>
  <c r="H69" i="3"/>
  <c r="D70" i="3"/>
  <c r="F105" i="3"/>
  <c r="G105" i="3" s="1"/>
  <c r="J12" i="2"/>
  <c r="J21" i="2" s="1"/>
  <c r="J23" i="2" s="1"/>
  <c r="J14" i="2"/>
  <c r="G70" i="3"/>
  <c r="B71" i="3"/>
  <c r="W38" i="2"/>
  <c r="W39" i="2" s="1"/>
  <c r="W42" i="2"/>
  <c r="H39" i="1"/>
  <c r="K39" i="1" s="1"/>
  <c r="K38" i="1"/>
  <c r="L38" i="1" s="1"/>
  <c r="C237" i="3"/>
  <c r="D237" i="3" s="1"/>
  <c r="G204" i="3"/>
  <c r="E205" i="3"/>
  <c r="F204" i="3"/>
  <c r="C139" i="3"/>
  <c r="I68" i="3"/>
  <c r="E104" i="3"/>
  <c r="K8" i="2"/>
  <c r="K9" i="2"/>
  <c r="K19" i="5"/>
  <c r="K26" i="5" s="1"/>
  <c r="K27" i="5" s="1"/>
  <c r="K14" i="5"/>
  <c r="L39" i="1" l="1"/>
  <c r="M39" i="1" s="1"/>
  <c r="M38" i="1"/>
  <c r="K10" i="2"/>
  <c r="H70" i="3"/>
  <c r="D71" i="3"/>
  <c r="D141" i="3"/>
  <c r="C106" i="3"/>
  <c r="B107" i="3"/>
  <c r="X42" i="2"/>
  <c r="Y43" i="2" s="1"/>
  <c r="Z43" i="2" s="1"/>
  <c r="W44" i="2"/>
  <c r="J15" i="2"/>
  <c r="J17" i="2"/>
  <c r="E105" i="3"/>
  <c r="I69" i="3"/>
  <c r="C140" i="3"/>
  <c r="I27" i="2"/>
  <c r="F205" i="3"/>
  <c r="G205" i="3"/>
  <c r="C238" i="3"/>
  <c r="D238" i="3" s="1"/>
  <c r="B72" i="3"/>
  <c r="G72" i="3" s="1"/>
  <c r="G71" i="3"/>
  <c r="J24" i="2"/>
  <c r="K21" i="5"/>
  <c r="D106" i="3"/>
  <c r="D107" i="3" s="1"/>
  <c r="L6" i="2" l="1"/>
  <c r="K11" i="2"/>
  <c r="I70" i="3"/>
  <c r="C141" i="3"/>
  <c r="E106" i="3"/>
  <c r="F106" i="3"/>
  <c r="G106" i="3" s="1"/>
  <c r="L11" i="5"/>
  <c r="L18" i="5"/>
  <c r="K23" i="5"/>
  <c r="K24" i="5" s="1"/>
  <c r="I28" i="2"/>
  <c r="I35" i="2"/>
  <c r="I36" i="2" s="1"/>
  <c r="I29" i="2"/>
  <c r="J19" i="2"/>
  <c r="J33" i="2"/>
  <c r="J34" i="2" s="1"/>
  <c r="B108" i="3"/>
  <c r="C108" i="3" s="1"/>
  <c r="C107" i="3"/>
  <c r="F107" i="3"/>
  <c r="G107" i="3" s="1"/>
  <c r="D72" i="3"/>
  <c r="D142" i="3"/>
  <c r="H71" i="3"/>
  <c r="L19" i="5" l="1"/>
  <c r="L26" i="5" s="1"/>
  <c r="L27" i="5" s="1"/>
  <c r="L14" i="5"/>
  <c r="H72" i="3"/>
  <c r="D143" i="3"/>
  <c r="F108" i="3"/>
  <c r="G108" i="3" s="1"/>
  <c r="J20" i="2"/>
  <c r="J26" i="2"/>
  <c r="J25" i="2"/>
  <c r="J27" i="2" s="1"/>
  <c r="D108" i="3"/>
  <c r="K14" i="2"/>
  <c r="K12" i="2"/>
  <c r="K21" i="2" s="1"/>
  <c r="K23" i="2" s="1"/>
  <c r="I71" i="3"/>
  <c r="E107" i="3"/>
  <c r="C142" i="3"/>
  <c r="J29" i="2"/>
  <c r="I30" i="2"/>
  <c r="L20" i="5"/>
  <c r="L21" i="5"/>
  <c r="L9" i="2"/>
  <c r="L8" i="2"/>
  <c r="J30" i="2" l="1"/>
  <c r="K24" i="2"/>
  <c r="M11" i="5"/>
  <c r="M18" i="5"/>
  <c r="L23" i="5"/>
  <c r="L24" i="5" s="1"/>
  <c r="K15" i="2"/>
  <c r="K17" i="2"/>
  <c r="C143" i="3"/>
  <c r="E108" i="3"/>
  <c r="I72" i="3"/>
  <c r="L10" i="2"/>
  <c r="J28" i="2"/>
  <c r="J35" i="2"/>
  <c r="J36" i="2" s="1"/>
  <c r="M20" i="5" l="1"/>
  <c r="M6" i="2"/>
  <c r="L11" i="2"/>
  <c r="K19" i="2"/>
  <c r="K33" i="2"/>
  <c r="K34" i="2" s="1"/>
  <c r="M19" i="5"/>
  <c r="M26" i="5" s="1"/>
  <c r="M27" i="5" s="1"/>
  <c r="M14" i="5"/>
  <c r="M9" i="2" l="1"/>
  <c r="M8" i="2"/>
  <c r="M10" i="2" s="1"/>
  <c r="K20" i="2"/>
  <c r="K26" i="2"/>
  <c r="K25" i="2"/>
  <c r="K27" i="2" s="1"/>
  <c r="M21" i="5"/>
  <c r="L12" i="2"/>
  <c r="L21" i="2" s="1"/>
  <c r="L23" i="2" s="1"/>
  <c r="L14" i="2"/>
  <c r="L24" i="2" l="1"/>
  <c r="N11" i="5"/>
  <c r="N18" i="5"/>
  <c r="M23" i="5"/>
  <c r="M24" i="5" s="1"/>
  <c r="N6" i="2"/>
  <c r="M11" i="2"/>
  <c r="K35" i="2"/>
  <c r="K36" i="2" s="1"/>
  <c r="K28" i="2"/>
  <c r="K29" i="2"/>
  <c r="L17" i="2"/>
  <c r="L15" i="2"/>
  <c r="N19" i="5" l="1"/>
  <c r="N26" i="5" s="1"/>
  <c r="N27" i="5" s="1"/>
  <c r="N14" i="5"/>
  <c r="N21" i="5"/>
  <c r="N20" i="5"/>
  <c r="L19" i="2"/>
  <c r="L33" i="2"/>
  <c r="L34" i="2" s="1"/>
  <c r="M12" i="2"/>
  <c r="M21" i="2" s="1"/>
  <c r="M23" i="2" s="1"/>
  <c r="M14" i="2"/>
  <c r="K30" i="2"/>
  <c r="N8" i="2"/>
  <c r="N10" i="2" s="1"/>
  <c r="N9" i="2"/>
  <c r="N11" i="2" l="1"/>
  <c r="O6" i="2"/>
  <c r="O11" i="5"/>
  <c r="N23" i="5"/>
  <c r="N24" i="5" s="1"/>
  <c r="O18" i="5"/>
  <c r="L20" i="2"/>
  <c r="L25" i="2"/>
  <c r="L27" i="2" s="1"/>
  <c r="L26" i="2"/>
  <c r="M24" i="2"/>
  <c r="M17" i="2"/>
  <c r="M15" i="2"/>
  <c r="L35" i="2" l="1"/>
  <c r="L36" i="2" s="1"/>
  <c r="L28" i="2"/>
  <c r="L29" i="2"/>
  <c r="O19" i="5"/>
  <c r="O26" i="5" s="1"/>
  <c r="O27" i="5" s="1"/>
  <c r="O14" i="5"/>
  <c r="O8" i="2"/>
  <c r="O9" i="2"/>
  <c r="O20" i="5"/>
  <c r="O21" i="5" s="1"/>
  <c r="N14" i="2"/>
  <c r="N12" i="2"/>
  <c r="N21" i="2" s="1"/>
  <c r="N23" i="2" s="1"/>
  <c r="M19" i="2"/>
  <c r="M33" i="2"/>
  <c r="M34" i="2" s="1"/>
  <c r="P11" i="5" l="1"/>
  <c r="P18" i="5"/>
  <c r="O23" i="5"/>
  <c r="O24" i="5" s="1"/>
  <c r="M20" i="2"/>
  <c r="M25" i="2"/>
  <c r="M26" i="2"/>
  <c r="N24" i="2"/>
  <c r="L30" i="2"/>
  <c r="N15" i="2"/>
  <c r="N17" i="2"/>
  <c r="O10" i="2"/>
  <c r="N19" i="2" l="1"/>
  <c r="N33" i="2"/>
  <c r="N34" i="2" s="1"/>
  <c r="P20" i="5"/>
  <c r="P6" i="2"/>
  <c r="O11" i="2"/>
  <c r="M27" i="2"/>
  <c r="P19" i="5"/>
  <c r="P26" i="5" s="1"/>
  <c r="P27" i="5" s="1"/>
  <c r="P14" i="5"/>
  <c r="P21" i="5" l="1"/>
  <c r="M28" i="2"/>
  <c r="M35" i="2"/>
  <c r="M36" i="2" s="1"/>
  <c r="M29" i="2"/>
  <c r="O14" i="2"/>
  <c r="O12" i="2"/>
  <c r="O21" i="2" s="1"/>
  <c r="O23" i="2" s="1"/>
  <c r="P9" i="2"/>
  <c r="P8" i="2"/>
  <c r="N20" i="2"/>
  <c r="N26" i="2"/>
  <c r="N25" i="2"/>
  <c r="N27" i="2" s="1"/>
  <c r="N28" i="2" l="1"/>
  <c r="N35" i="2"/>
  <c r="O24" i="2"/>
  <c r="O15" i="2"/>
  <c r="O17" i="2"/>
  <c r="N36" i="2"/>
  <c r="P10" i="2"/>
  <c r="M30" i="2"/>
  <c r="N29" i="2"/>
  <c r="Q11" i="5"/>
  <c r="Q18" i="5"/>
  <c r="P23" i="5"/>
  <c r="P24" i="5" s="1"/>
  <c r="Q19" i="5" l="1"/>
  <c r="Q26" i="5" s="1"/>
  <c r="Q27" i="5" s="1"/>
  <c r="Q14" i="5"/>
  <c r="Q20" i="5"/>
  <c r="Q21" i="5"/>
  <c r="N30" i="2"/>
  <c r="O19" i="2"/>
  <c r="O33" i="2"/>
  <c r="O34" i="2" s="1"/>
  <c r="Q6" i="2"/>
  <c r="P11" i="2"/>
  <c r="Q23" i="5" l="1"/>
  <c r="Q24" i="5" s="1"/>
  <c r="R11" i="5"/>
  <c r="R18" i="5"/>
  <c r="O20" i="2"/>
  <c r="O26" i="2"/>
  <c r="O25" i="2"/>
  <c r="O27" i="2" s="1"/>
  <c r="P12" i="2"/>
  <c r="P21" i="2" s="1"/>
  <c r="P23" i="2" s="1"/>
  <c r="P14" i="2"/>
  <c r="Q9" i="2"/>
  <c r="Q8" i="2"/>
  <c r="Q10" i="2" s="1"/>
  <c r="P24" i="2" l="1"/>
  <c r="P15" i="2"/>
  <c r="P17" i="2"/>
  <c r="R6" i="2"/>
  <c r="Q11" i="2"/>
  <c r="O28" i="2"/>
  <c r="O35" i="2"/>
  <c r="O36" i="2" s="1"/>
  <c r="O29" i="2"/>
  <c r="R19" i="5"/>
  <c r="R26" i="5" s="1"/>
  <c r="R27" i="5" s="1"/>
  <c r="R14" i="5"/>
  <c r="R20" i="5"/>
  <c r="P19" i="2" l="1"/>
  <c r="P33" i="2"/>
  <c r="P34" i="2" s="1"/>
  <c r="Q12" i="2"/>
  <c r="Q21" i="2" s="1"/>
  <c r="Q23" i="2" s="1"/>
  <c r="Q14" i="2"/>
  <c r="R21" i="5"/>
  <c r="O30" i="2"/>
  <c r="R8" i="2"/>
  <c r="R9" i="2"/>
  <c r="S18" i="5" l="1"/>
  <c r="S11" i="5"/>
  <c r="R23" i="5"/>
  <c r="R24" i="5" s="1"/>
  <c r="P25" i="2"/>
  <c r="P26" i="2"/>
  <c r="P20" i="2"/>
  <c r="Q24" i="2"/>
  <c r="R10" i="2"/>
  <c r="Q17" i="2"/>
  <c r="Q15" i="2"/>
  <c r="Q19" i="2" l="1"/>
  <c r="Q33" i="2"/>
  <c r="Q34" i="2" s="1"/>
  <c r="S19" i="5"/>
  <c r="S26" i="5" s="1"/>
  <c r="S27" i="5" s="1"/>
  <c r="S14" i="5"/>
  <c r="R11" i="2"/>
  <c r="S6" i="2"/>
  <c r="S20" i="5"/>
  <c r="S21" i="5" s="1"/>
  <c r="P27" i="2"/>
  <c r="T11" i="5" l="1"/>
  <c r="T18" i="5"/>
  <c r="S23" i="5"/>
  <c r="S24" i="5" s="1"/>
  <c r="S8" i="2"/>
  <c r="S10" i="2" s="1"/>
  <c r="S9" i="2"/>
  <c r="P35" i="2"/>
  <c r="P36" i="2" s="1"/>
  <c r="P28" i="2"/>
  <c r="P29" i="2"/>
  <c r="R12" i="2"/>
  <c r="R21" i="2" s="1"/>
  <c r="R23" i="2" s="1"/>
  <c r="R14" i="2"/>
  <c r="Q25" i="2"/>
  <c r="Q27" i="2" s="1"/>
  <c r="Q26" i="2"/>
  <c r="Q20" i="2"/>
  <c r="T6" i="2" l="1"/>
  <c r="S11" i="2"/>
  <c r="R24" i="2"/>
  <c r="T20" i="5"/>
  <c r="T21" i="5"/>
  <c r="Q28" i="2"/>
  <c r="Q35" i="2"/>
  <c r="Q36" i="2" s="1"/>
  <c r="R15" i="2"/>
  <c r="R17" i="2"/>
  <c r="Q29" i="2"/>
  <c r="P30" i="2"/>
  <c r="T19" i="5"/>
  <c r="T26" i="5" s="1"/>
  <c r="T27" i="5" s="1"/>
  <c r="T14" i="5"/>
  <c r="R19" i="2" l="1"/>
  <c r="R33" i="2"/>
  <c r="R34" i="2" s="1"/>
  <c r="Q30" i="2"/>
  <c r="T9" i="2"/>
  <c r="T8" i="2"/>
  <c r="T10" i="2" s="1"/>
  <c r="U11" i="5"/>
  <c r="U18" i="5"/>
  <c r="T23" i="5"/>
  <c r="T24" i="5" s="1"/>
  <c r="S14" i="2"/>
  <c r="S12" i="2"/>
  <c r="S21" i="2" s="1"/>
  <c r="S23" i="2" s="1"/>
  <c r="U19" i="5" l="1"/>
  <c r="U26" i="5" s="1"/>
  <c r="U27" i="5" s="1"/>
  <c r="U14" i="5"/>
  <c r="U6" i="2"/>
  <c r="T11" i="2"/>
  <c r="R20" i="2"/>
  <c r="R25" i="2"/>
  <c r="R26" i="2"/>
  <c r="S24" i="2"/>
  <c r="S15" i="2"/>
  <c r="S17" i="2"/>
  <c r="U20" i="5"/>
  <c r="U21" i="5"/>
  <c r="S19" i="2" l="1"/>
  <c r="S33" i="2"/>
  <c r="S34" i="2" s="1"/>
  <c r="R27" i="2"/>
  <c r="U9" i="2"/>
  <c r="U8" i="2"/>
  <c r="V11" i="5"/>
  <c r="U23" i="5"/>
  <c r="U24" i="5" s="1"/>
  <c r="V18" i="5"/>
  <c r="T12" i="2"/>
  <c r="T21" i="2" s="1"/>
  <c r="T23" i="2" s="1"/>
  <c r="T14" i="2"/>
  <c r="R28" i="2" l="1"/>
  <c r="R35" i="2"/>
  <c r="R36" i="2" s="1"/>
  <c r="R29" i="2"/>
  <c r="T17" i="2"/>
  <c r="T15" i="2"/>
  <c r="Y11" i="5"/>
  <c r="V19" i="5"/>
  <c r="V26" i="5" s="1"/>
  <c r="V27" i="5" s="1"/>
  <c r="V14" i="5"/>
  <c r="V20" i="5"/>
  <c r="T24" i="2"/>
  <c r="U10" i="2"/>
  <c r="S20" i="2"/>
  <c r="S26" i="2"/>
  <c r="S25" i="2"/>
  <c r="T19" i="2" l="1"/>
  <c r="T33" i="2"/>
  <c r="T34" i="2" s="1"/>
  <c r="R30" i="2"/>
  <c r="V21" i="5"/>
  <c r="AB11" i="5"/>
  <c r="AB14" i="5" s="1"/>
  <c r="AC11" i="5"/>
  <c r="AC14" i="5" s="1"/>
  <c r="Y14" i="5"/>
  <c r="V6" i="2"/>
  <c r="U11" i="2"/>
  <c r="S27" i="2"/>
  <c r="S28" i="2" l="1"/>
  <c r="S35" i="2"/>
  <c r="S36" i="2" s="1"/>
  <c r="S29" i="2"/>
  <c r="U12" i="2"/>
  <c r="U21" i="2" s="1"/>
  <c r="U23" i="2" s="1"/>
  <c r="U14" i="2"/>
  <c r="V8" i="2"/>
  <c r="V9" i="2"/>
  <c r="V23" i="5"/>
  <c r="V24" i="5" s="1"/>
  <c r="Y18" i="5"/>
  <c r="T20" i="2"/>
  <c r="T25" i="2"/>
  <c r="T27" i="2" s="1"/>
  <c r="T26" i="2"/>
  <c r="T29" i="2" l="1"/>
  <c r="S30" i="2"/>
  <c r="T35" i="2"/>
  <c r="T28" i="2"/>
  <c r="AB18" i="5"/>
  <c r="AC18" i="5"/>
  <c r="AC22" i="5" s="1"/>
  <c r="Y35" i="5"/>
  <c r="Y21" i="5"/>
  <c r="AC21" i="5" s="1"/>
  <c r="Y22" i="5"/>
  <c r="V10" i="2"/>
  <c r="T36" i="2"/>
  <c r="U24" i="2"/>
  <c r="U17" i="2"/>
  <c r="U15" i="2"/>
  <c r="AB35" i="5" l="1"/>
  <c r="AB37" i="5" s="1"/>
  <c r="AC35" i="5"/>
  <c r="AC37" i="5" s="1"/>
  <c r="Y37" i="5"/>
  <c r="U19" i="2"/>
  <c r="U33" i="2"/>
  <c r="U34" i="2" s="1"/>
  <c r="V11" i="2"/>
  <c r="W6" i="2"/>
  <c r="AB22" i="5"/>
  <c r="AB21" i="5"/>
  <c r="T30" i="2"/>
  <c r="V14" i="2" l="1"/>
  <c r="V12" i="2"/>
  <c r="V21" i="2" s="1"/>
  <c r="V23" i="2" s="1"/>
  <c r="W8" i="2"/>
  <c r="W10" i="2" s="1"/>
  <c r="W9" i="2"/>
  <c r="U20" i="2"/>
  <c r="U25" i="2"/>
  <c r="U26" i="2"/>
  <c r="X6" i="2" l="1"/>
  <c r="W11" i="2"/>
  <c r="U27" i="2"/>
  <c r="V24" i="2"/>
  <c r="V15" i="2"/>
  <c r="V17" i="2"/>
  <c r="V19" i="2" l="1"/>
  <c r="V33" i="2"/>
  <c r="V34" i="2" s="1"/>
  <c r="U28" i="2"/>
  <c r="U35" i="2"/>
  <c r="U36" i="2" s="1"/>
  <c r="U29" i="2"/>
  <c r="W14" i="2"/>
  <c r="W12" i="2"/>
  <c r="W21" i="2" s="1"/>
  <c r="W23" i="2" s="1"/>
  <c r="W24" i="2" l="1"/>
  <c r="W15" i="2"/>
  <c r="W17" i="2"/>
  <c r="U30" i="2"/>
  <c r="V29" i="2"/>
  <c r="V20" i="2"/>
  <c r="V26" i="2"/>
  <c r="V25" i="2"/>
  <c r="V27" i="2" s="1"/>
  <c r="V30" i="2" l="1"/>
  <c r="V28" i="2"/>
  <c r="V35" i="2"/>
  <c r="V36" i="2" s="1"/>
  <c r="W19" i="2"/>
  <c r="W33" i="2"/>
  <c r="W34" i="2" s="1"/>
  <c r="W20" i="2" l="1"/>
  <c r="W26" i="2"/>
  <c r="W25" i="2"/>
  <c r="W27" i="2" s="1"/>
  <c r="W28" i="2" l="1"/>
  <c r="W35" i="2"/>
  <c r="W36" i="2" s="1"/>
  <c r="W29" i="2"/>
  <c r="W30" i="2" s="1"/>
</calcChain>
</file>

<file path=xl/sharedStrings.xml><?xml version="1.0" encoding="utf-8"?>
<sst xmlns="http://schemas.openxmlformats.org/spreadsheetml/2006/main" count="380" uniqueCount="257">
  <si>
    <t>A PENSION PLAN BASED ON THE UTILISATION OF THE MORTGAGE FREE RESIDENTIAL PROPERTY OF THE RETIREE</t>
  </si>
  <si>
    <t xml:space="preserve">Preamble: As part of its usual funding process the Government borrows funds to pay the retiree a monthly pension of 5% of the agreed market value </t>
  </si>
  <si>
    <t xml:space="preserve">of the retirees house (or other property) indexed to the national CPI. On the death of the retiree the Government then sells the property </t>
  </si>
  <si>
    <t>and recoups its total outlays over the pension period. The residue of the proceeds is retained by the Government to help fund</t>
  </si>
  <si>
    <t>retirement/aged care needs.</t>
  </si>
  <si>
    <t>There are currently 300,000 singles living in mortgage free homes and 1,000,000 couples</t>
  </si>
  <si>
    <t>It is reckoned some 10% have no need for their home after death and would prefer to maximise their remaining years.</t>
  </si>
  <si>
    <t>cell values to change</t>
  </si>
  <si>
    <t>Value of house</t>
  </si>
  <si>
    <t>(choose)</t>
  </si>
  <si>
    <t>Pension component of value</t>
  </si>
  <si>
    <t>%</t>
  </si>
  <si>
    <t>Pension start in year 1</t>
  </si>
  <si>
    <t>Pension increased each year by CPI</t>
  </si>
  <si>
    <t>Cost to Gov.</t>
  </si>
  <si>
    <t>Rolling</t>
  </si>
  <si>
    <t xml:space="preserve">Rolling </t>
  </si>
  <si>
    <t>Annual pension paid</t>
  </si>
  <si>
    <t>Interest</t>
  </si>
  <si>
    <t>interest</t>
  </si>
  <si>
    <t>Admin.</t>
  </si>
  <si>
    <t>admin</t>
  </si>
  <si>
    <t>All costs</t>
  </si>
  <si>
    <t>Prog. Cost</t>
  </si>
  <si>
    <t>Residue ex</t>
  </si>
  <si>
    <t>Year</t>
  </si>
  <si>
    <t>Start</t>
  </si>
  <si>
    <t>CPI</t>
  </si>
  <si>
    <t>Paid</t>
  </si>
  <si>
    <t>Average</t>
  </si>
  <si>
    <t>house</t>
  </si>
  <si>
    <t>Total</t>
  </si>
  <si>
    <t>ALL COSTS</t>
  </si>
  <si>
    <t>Annual pension as % of value of house</t>
  </si>
  <si>
    <t>Future value of QE money invested c.f. House value</t>
  </si>
  <si>
    <t>HPI</t>
  </si>
  <si>
    <t>New</t>
  </si>
  <si>
    <t>Gain p.a.</t>
  </si>
  <si>
    <t>Residue</t>
  </si>
  <si>
    <t>% factor</t>
  </si>
  <si>
    <t>Pension p.a.</t>
  </si>
  <si>
    <t>% increase</t>
  </si>
  <si>
    <t>Rolling cost</t>
  </si>
  <si>
    <t>Check&gt;&gt;</t>
  </si>
  <si>
    <t>Size of different factors</t>
  </si>
  <si>
    <t>No. of pensioners</t>
  </si>
  <si>
    <t>Total value</t>
  </si>
  <si>
    <t>Factor for pension</t>
  </si>
  <si>
    <t>Total pensions</t>
  </si>
  <si>
    <t>House residue</t>
  </si>
  <si>
    <t>Current pension average</t>
  </si>
  <si>
    <t>Total current pensions</t>
  </si>
  <si>
    <t>Royalty rate</t>
  </si>
  <si>
    <t>Total royalties</t>
  </si>
  <si>
    <t>Popn. 000's&gt;65</t>
  </si>
  <si>
    <t>New retirees</t>
  </si>
  <si>
    <t>Sub-total</t>
  </si>
  <si>
    <t>000's</t>
  </si>
  <si>
    <t>Deaths</t>
  </si>
  <si>
    <t>New total</t>
  </si>
  <si>
    <t>Baseload</t>
  </si>
  <si>
    <t>Death rate</t>
  </si>
  <si>
    <t>New baseload</t>
  </si>
  <si>
    <t>% popn.&gt;65</t>
  </si>
  <si>
    <t>People</t>
  </si>
  <si>
    <t>Pension</t>
  </si>
  <si>
    <t>$B</t>
  </si>
  <si>
    <t>(per month)</t>
  </si>
  <si>
    <t>Houses sold</t>
  </si>
  <si>
    <t>$/house</t>
  </si>
  <si>
    <t>Income $B</t>
  </si>
  <si>
    <t>Less $B borrowed</t>
  </si>
  <si>
    <t>Less $B Admin.</t>
  </si>
  <si>
    <t>Nett $B to Gov.**</t>
  </si>
  <si>
    <t>Rolling total</t>
  </si>
  <si>
    <t>plus interest</t>
  </si>
  <si>
    <t>Current pension</t>
  </si>
  <si>
    <t>$B cost to Gov.</t>
  </si>
  <si>
    <t>Gov. better off  $B @ cash value</t>
  </si>
  <si>
    <t>Pensioner better off</t>
  </si>
  <si>
    <t>Ratio pension:increase in value of house @ book value</t>
  </si>
  <si>
    <t>Gov. ahead by</t>
  </si>
  <si>
    <t>House value increase</t>
  </si>
  <si>
    <t>Ratio %</t>
  </si>
  <si>
    <r>
      <t xml:space="preserve">Copyright </t>
    </r>
    <r>
      <rPr>
        <sz val="9"/>
        <rFont val="Times New Roman"/>
        <family val="1"/>
        <charset val="128"/>
      </rPr>
      <t>©</t>
    </r>
    <r>
      <rPr>
        <sz val="9"/>
        <rFont val="Times New Roman"/>
        <family val="1"/>
        <charset val="1"/>
      </rPr>
      <t xml:space="preserve"> Peter Caplen Hall 2013</t>
    </r>
  </si>
  <si>
    <t>1a Rest Drive</t>
  </si>
  <si>
    <t>Flinders. 3929</t>
  </si>
  <si>
    <t>Australia</t>
  </si>
  <si>
    <t>The moral right of the author has been asserted.</t>
  </si>
  <si>
    <t xml:space="preserve">All rights reserved. All elements of this document including all strategies, ideas, principles, methods are the propertry of the author. No part of this document may be reproduced or transmitted by any person or entity, including internet search engines </t>
  </si>
  <si>
    <t>Or retailers, in any form or by any means,electronic or mechanical, including photcopying (except under the statutory exceptions provisions of the Australian Copyright Act 1968)</t>
  </si>
  <si>
    <t>recording, scanning or by any information storage and retrieval system without the written permission of Peter Caplen Hall.</t>
  </si>
  <si>
    <t>MyPlan</t>
  </si>
  <si>
    <r>
      <t xml:space="preserve">“My </t>
    </r>
    <r>
      <rPr>
        <b/>
        <i/>
        <sz val="10"/>
        <rFont val="Arial"/>
        <family val="2"/>
        <charset val="1"/>
      </rPr>
      <t>self-funding retirement</t>
    </r>
    <r>
      <rPr>
        <b/>
        <sz val="10"/>
        <rFont val="Arial"/>
        <family val="2"/>
        <charset val="1"/>
      </rPr>
      <t xml:space="preserve"> Plan"</t>
    </r>
  </si>
  <si>
    <t>AN INVESTMENT PLAN BASED ON THE UTILISATION OF THE MORTGAGE FREE RESIDENTIAL PROPERTY OF A RETIREE</t>
  </si>
  <si>
    <t>Background</t>
  </si>
  <si>
    <t>The greatest underutilised asset in the country is the residential housing sector currently valued at c.a. $5.3 trillion.</t>
  </si>
  <si>
    <t>There are currently 300,000 retired singles living in mortgage free homes and 1,000,000 couples</t>
  </si>
  <si>
    <t>It is reckoned some 70% have no need or plan to pass on their home after death and would prefer to maximise their remaining years.</t>
  </si>
  <si>
    <t>Reverse mortgages, the Pensions Loans Scheme, downsizing and leaving the family home are all “measures of last resort” and unpopular.</t>
  </si>
  <si>
    <t>Concept:</t>
  </si>
  <si>
    <t xml:space="preserve">The Government and the retiree commit to a contract whereby the retiree is paid a yearly annuity until death in exchange </t>
  </si>
  <si>
    <t>for title to the house</t>
  </si>
  <si>
    <t>The retiree can stay in the house until death or move to another or to a retirement home under the terms of the original contract.</t>
  </si>
  <si>
    <t>***************</t>
  </si>
  <si>
    <t>Action</t>
  </si>
  <si>
    <t xml:space="preserve">The Government issues new money to the value of the house </t>
  </si>
  <si>
    <t>6% dividend of this value is assumed as the starting annuity for the retiree. In subsequent years this is increased  at  CPI.</t>
  </si>
  <si>
    <t>Annuity paid is tax free.</t>
  </si>
  <si>
    <t>When retiree dies Government can sell the house and repay the debt on the national accounts i.e. “balance the books”. Surplus is re-invested.</t>
  </si>
  <si>
    <t>Politics</t>
  </si>
  <si>
    <t>This is a matter of CHOICE for the retiree. Therefore politically saleable.</t>
  </si>
  <si>
    <t xml:space="preserve">This concept can be offered to young couples as an alternative future plan for retirement. </t>
  </si>
  <si>
    <t>Therefore they can use their 9% super contribution to pay off their mortgage instead. A double win.</t>
  </si>
  <si>
    <t>Win:win all round</t>
  </si>
  <si>
    <t>10,000 retirees are substantially better off and can stay in their own homes.</t>
  </si>
  <si>
    <t>10,000 retirees are better able to hire homecare services and thus create a whole new sector of service industries/jobs</t>
  </si>
  <si>
    <t>Government saves $200 million per annum now paid out as pensions  - $3 billion over say 15 years before indexation</t>
  </si>
  <si>
    <t>Young couples can buy a house for a dual purpose – their own home and their future retirement pension.</t>
  </si>
  <si>
    <t>Guide to analyse spreadsheet assumptions</t>
  </si>
  <si>
    <t>(Shaded cells are values to be changed for analysis)</t>
  </si>
  <si>
    <t>Percentage annual increase in value of house = cell c48</t>
  </si>
  <si>
    <t>Percentage value of management fee =  cell g47</t>
  </si>
  <si>
    <t>Annuity percentage of house value = cell a84</t>
  </si>
  <si>
    <t>CPI assumed = c83</t>
  </si>
  <si>
    <t>Assumed average partial pensions paid to retirees = cell b185</t>
  </si>
  <si>
    <t>SECTION A</t>
  </si>
  <si>
    <t>Increasing value of retiree's house</t>
  </si>
  <si>
    <t>Value increase</t>
  </si>
  <si>
    <t>M'ment fee</t>
  </si>
  <si>
    <t>Net gain</t>
  </si>
  <si>
    <t>SECTION B</t>
  </si>
  <si>
    <t>Annual pension c.f value of house</t>
  </si>
  <si>
    <t xml:space="preserve">Note: annuity is paid from the investment but residue from Section C </t>
  </si>
  <si>
    <t>can be used if dividend falls short.</t>
  </si>
  <si>
    <t>House value</t>
  </si>
  <si>
    <t>ROI</t>
  </si>
  <si>
    <t>Annuity</t>
  </si>
  <si>
    <t>Annuity p.a.</t>
  </si>
  <si>
    <t>SECTION C</t>
  </si>
  <si>
    <t>Future value of new money invested c.f. House value</t>
  </si>
  <si>
    <t>Age of</t>
  </si>
  <si>
    <t>i.e. Value to be paid back to “balance the books”</t>
  </si>
  <si>
    <t>retiree when</t>
  </si>
  <si>
    <t>house sold</t>
  </si>
  <si>
    <t>Loan taken</t>
  </si>
  <si>
    <t>out based on</t>
  </si>
  <si>
    <t>To repay</t>
  </si>
  <si>
    <t>Surplus</t>
  </si>
  <si>
    <t>Section D</t>
  </si>
  <si>
    <t>Difference in value of house to rolling cost of annuity paid on a $1M house over 20 years (i.e. 85 y.o.) at varying rates of % growth</t>
  </si>
  <si>
    <t xml:space="preserve">Value </t>
  </si>
  <si>
    <t>Margin @age 85</t>
  </si>
  <si>
    <t>% growth</t>
  </si>
  <si>
    <t>total paid</t>
  </si>
  <si>
    <t>Section E</t>
  </si>
  <si>
    <t>Future cost of Government existing pension (or funds to be saved)</t>
  </si>
  <si>
    <t>CPI growth</t>
  </si>
  <si>
    <t>New pension</t>
  </si>
  <si>
    <t>Retirees</t>
  </si>
  <si>
    <t>B</t>
  </si>
  <si>
    <t>Section F</t>
  </si>
  <si>
    <t>All excess funds available on death of retiree</t>
  </si>
  <si>
    <t>Age</t>
  </si>
  <si>
    <t>Equity in house</t>
  </si>
  <si>
    <t>Pension saved</t>
  </si>
  <si>
    <t>THE CHOICE</t>
  </si>
  <si>
    <t xml:space="preserve">Stay with Government pension and super funds </t>
  </si>
  <si>
    <t>or</t>
  </si>
  <si>
    <t>Go with house based pension</t>
  </si>
  <si>
    <t>Current</t>
  </si>
  <si>
    <t>SMSF value</t>
  </si>
  <si>
    <t>Gov. pension</t>
  </si>
  <si>
    <t>Super</t>
  </si>
  <si>
    <t>Annual</t>
  </si>
  <si>
    <t>House</t>
  </si>
  <si>
    <t>Downsize</t>
  </si>
  <si>
    <t xml:space="preserve">Current </t>
  </si>
  <si>
    <t>capital</t>
  </si>
  <si>
    <t>New SMSF</t>
  </si>
  <si>
    <t>If after sale of house and new SMSF funds are &gt; $1M then there is no Gov. pension</t>
  </si>
  <si>
    <t>So new SMSF funds are reliant on investments only</t>
  </si>
  <si>
    <t>ROI %</t>
  </si>
  <si>
    <t>Super pension</t>
  </si>
  <si>
    <t>CASH FLOW BASED ON ONE PENSIONER ONLY</t>
  </si>
  <si>
    <t>Annual pension is based on x% of the annual increase in value of the house</t>
  </si>
  <si>
    <t>Lifespan is 19 years to age 84. Death could be in any particular year.</t>
  </si>
  <si>
    <t>Value to change</t>
  </si>
  <si>
    <t>MORE PENSIONERS $B</t>
  </si>
  <si>
    <t>per month</t>
  </si>
  <si>
    <t>Rolling new pension cost</t>
  </si>
  <si>
    <t>&lt;&lt;&lt;&lt;</t>
  </si>
  <si>
    <t>&lt;&lt;&lt;&lt;&lt;</t>
  </si>
  <si>
    <t>$/house  *</t>
  </si>
  <si>
    <t>$/house  #</t>
  </si>
  <si>
    <t>Cover of house to pension (safety net)</t>
  </si>
  <si>
    <t>Cover of house to pension</t>
  </si>
  <si>
    <t>Annual increase in value</t>
  </si>
  <si>
    <t>Rolling increase</t>
  </si>
  <si>
    <t>Income $ less sale commission @2%</t>
  </si>
  <si>
    <t>Income $ less commission @2%</t>
  </si>
  <si>
    <t>Less $ borrowed</t>
  </si>
  <si>
    <t>Less Interest $    **</t>
  </si>
  <si>
    <t>Less $ Admin.     ***</t>
  </si>
  <si>
    <t>Cost $ to Gov.****</t>
  </si>
  <si>
    <t>Nett $ to Gov.**</t>
  </si>
  <si>
    <t>Rolling increase in value of house</t>
  </si>
  <si>
    <t>Rolling increase in cost to Gov</t>
  </si>
  <si>
    <t xml:space="preserve">Gov. cover </t>
  </si>
  <si>
    <t>Extra money in the economy/year</t>
  </si>
  <si>
    <t>Per 1000 pensioners</t>
  </si>
  <si>
    <t>Current pension   *****</t>
  </si>
  <si>
    <t>Current pension   *</t>
  </si>
  <si>
    <t>Rolling $ cost to Gov.</t>
  </si>
  <si>
    <t>Lost forever</t>
  </si>
  <si>
    <t>Pensioner better off by</t>
  </si>
  <si>
    <t>New Pension plus costs</t>
  </si>
  <si>
    <t xml:space="preserve">House value </t>
  </si>
  <si>
    <t xml:space="preserve">Ratio </t>
  </si>
  <si>
    <t>Market value of house  *</t>
  </si>
  <si>
    <t>Interest assumed at 3%    **</t>
  </si>
  <si>
    <t>* Average pension Centrelink</t>
  </si>
  <si>
    <t>Admin. Co sts assumed at 1%    ***</t>
  </si>
  <si>
    <t># Mean average increase in value plus inflation</t>
  </si>
  <si>
    <t>Total of pension,interest, admin.****</t>
  </si>
  <si>
    <t>!  International cost of money</t>
  </si>
  <si>
    <t>Approx. average pension $31B/3.1M pensioners   *****</t>
  </si>
  <si>
    <t>^  Assumed C'Link admin. Cost @1%</t>
  </si>
  <si>
    <t xml:space="preserve">All rights reserved. All elements of this document including all strategies, ideas, principles, methods are the propertry of the author. No part of this document </t>
  </si>
  <si>
    <t>may be reproduced or transmitted by any person or entity, including internet search engines or retailers, in any form or by any means electronic or mechanical</t>
  </si>
  <si>
    <t>including photocopying (except under the statutory exceptions provisions of the Australian Copyright Act 1968) recording, scanning or by any</t>
  </si>
  <si>
    <t>information storage and retrieval system without the written permission of Peter Caplen Hall.</t>
  </si>
  <si>
    <t>AGED POPULATION STATISTICS per ABS</t>
  </si>
  <si>
    <t xml:space="preserve">at age 65 </t>
  </si>
  <si>
    <t>Male</t>
  </si>
  <si>
    <t>Female</t>
  </si>
  <si>
    <t>change</t>
  </si>
  <si>
    <t>% change</t>
  </si>
  <si>
    <t>growth</t>
  </si>
  <si>
    <t>Deaths by age group 2011</t>
  </si>
  <si>
    <t>% of all</t>
  </si>
  <si>
    <t>Average/year</t>
  </si>
  <si>
    <t>65-69</t>
  </si>
  <si>
    <t>70-74</t>
  </si>
  <si>
    <t>75-79</t>
  </si>
  <si>
    <t>80-84</t>
  </si>
  <si>
    <t>85-89</t>
  </si>
  <si>
    <t>90-94</t>
  </si>
  <si>
    <t>95-99</t>
  </si>
  <si>
    <t>Average per age group</t>
  </si>
  <si>
    <t>Total population of Australia 2011 = 22.7 million</t>
  </si>
  <si>
    <t>&gt;65 = 14.2% or 3.223M</t>
  </si>
  <si>
    <t>&gt;85 = 1.9% or 0.431M</t>
  </si>
  <si>
    <t>Population 2011</t>
  </si>
  <si>
    <t>Ratio</t>
  </si>
  <si>
    <t>Per 1000</t>
  </si>
  <si>
    <t>Av./group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</si>
</sst>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00;[Red]&quot;-$&quot;#,##0.00"/>
    <numFmt numFmtId="166" formatCode="_-* #,##0.00_-;\-* #,##0.00_-;_-* \-??_-;_-@_-"/>
    <numFmt numFmtId="167" formatCode="_-* #,##0_-;\-* #,##0_-;_-* \-??_-;_-@_-"/>
    <numFmt numFmtId="168" formatCode="0.0"/>
    <numFmt numFmtId="169" formatCode="#,##0.000"/>
    <numFmt numFmtId="170" formatCode="0.0000"/>
    <numFmt numFmtId="171" formatCode="#,##0.0000"/>
  </numFmts>
  <fonts count="11">
    <font>
      <sz val="10"/>
      <name val="Arial"/>
      <family val="2"/>
    </font>
    <font>
      <sz val="10"/>
      <name val="Arial"/>
      <family val="2"/>
      <charset val="1"/>
    </font>
    <font>
      <b/>
      <sz val="10"/>
      <name val="Arial"/>
      <family val="2"/>
      <charset val="1"/>
    </font>
    <font>
      <sz val="9"/>
      <name val="Times New Roman"/>
      <family val="1"/>
      <charset val="1"/>
    </font>
    <font>
      <sz val="9"/>
      <name val="Times New Roman"/>
      <family val="1"/>
      <charset val="128"/>
    </font>
    <font>
      <sz val="7"/>
      <name val="Arial"/>
      <family val="2"/>
      <charset val="1"/>
    </font>
    <font>
      <sz val="12"/>
      <name val="Arial"/>
      <family val="2"/>
      <charset val="1"/>
    </font>
    <font>
      <sz val="6"/>
      <name val="Arial"/>
      <family val="2"/>
      <charset val="1"/>
    </font>
    <font>
      <b/>
      <i/>
      <sz val="10"/>
      <name val="Arial"/>
      <family val="2"/>
      <charset val="1"/>
    </font>
    <font>
      <b/>
      <sz val="8"/>
      <name val="Arial"/>
      <family val="2"/>
      <charset val="1"/>
    </font>
    <font>
      <sz val="9"/>
      <name val="Arial"/>
      <family val="2"/>
      <charset val="1"/>
    </font>
  </fonts>
  <fills count="5">
    <fill>
      <patternFill patternType="none"/>
    </fill>
    <fill>
      <patternFill patternType="gray125"/>
    </fill>
    <fill>
      <patternFill patternType="solid">
        <fgColor indexed="13"/>
        <bgColor indexed="34"/>
      </patternFill>
    </fill>
    <fill>
      <patternFill patternType="solid">
        <fgColor indexed="15"/>
        <bgColor indexed="35"/>
      </patternFill>
    </fill>
    <fill>
      <patternFill patternType="solid">
        <fgColor indexed="11"/>
        <bgColor indexed="49"/>
      </patternFill>
    </fill>
  </fills>
  <borders count="9">
    <border>
      <left/>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4">
    <xf numFmtId="0" fontId="0" fillId="0" borderId="0"/>
    <xf numFmtId="166" fontId="1" fillId="0" borderId="0"/>
    <xf numFmtId="9" fontId="1" fillId="0" borderId="0"/>
    <xf numFmtId="0" fontId="1" fillId="0" borderId="0"/>
  </cellStyleXfs>
  <cellXfs count="116">
    <xf numFmtId="0" fontId="0" fillId="0" borderId="0" xfId="0"/>
    <xf numFmtId="0" fontId="1" fillId="0" borderId="0" xfId="3"/>
    <xf numFmtId="0" fontId="1" fillId="0" borderId="0" xfId="3" applyNumberFormat="1" applyFont="1" applyFill="1" applyBorder="1" applyAlignment="1" applyProtection="1">
      <protection locked="0"/>
    </xf>
    <xf numFmtId="0" fontId="2" fillId="0" borderId="0" xfId="3" applyNumberFormat="1" applyFont="1" applyFill="1" applyBorder="1" applyAlignment="1" applyProtection="1">
      <protection locked="0"/>
    </xf>
    <xf numFmtId="0" fontId="1" fillId="0" borderId="0" xfId="3" applyNumberFormat="1" applyFont="1" applyFill="1" applyBorder="1" applyAlignment="1" applyProtection="1">
      <alignment horizontal="left"/>
      <protection locked="0"/>
    </xf>
    <xf numFmtId="0" fontId="1" fillId="2" borderId="0" xfId="3" applyFill="1"/>
    <xf numFmtId="0" fontId="1" fillId="0" borderId="0" xfId="3" applyFont="1" applyAlignment="1">
      <alignment horizontal="right"/>
    </xf>
    <xf numFmtId="3" fontId="1" fillId="2" borderId="0" xfId="3" applyNumberFormat="1" applyFont="1" applyFill="1" applyBorder="1" applyAlignment="1" applyProtection="1">
      <protection locked="0"/>
    </xf>
    <xf numFmtId="0" fontId="1" fillId="0" borderId="0" xfId="3" applyNumberFormat="1"/>
    <xf numFmtId="9" fontId="1" fillId="0" borderId="0" xfId="3" applyNumberFormat="1" applyFont="1" applyFill="1" applyBorder="1" applyAlignment="1" applyProtection="1">
      <protection locked="0"/>
    </xf>
    <xf numFmtId="0" fontId="1" fillId="2" borderId="0" xfId="3" applyNumberFormat="1" applyFont="1" applyFill="1" applyBorder="1" applyAlignment="1" applyProtection="1">
      <protection locked="0"/>
    </xf>
    <xf numFmtId="3" fontId="1" fillId="0" borderId="0" xfId="3" applyNumberFormat="1" applyFont="1" applyFill="1" applyBorder="1" applyAlignment="1" applyProtection="1">
      <protection locked="0"/>
    </xf>
    <xf numFmtId="1" fontId="1" fillId="0" borderId="0" xfId="3" applyNumberFormat="1"/>
    <xf numFmtId="3" fontId="1" fillId="0" borderId="0" xfId="3" applyNumberFormat="1"/>
    <xf numFmtId="4" fontId="1" fillId="0" borderId="0" xfId="3" applyNumberFormat="1"/>
    <xf numFmtId="2" fontId="1" fillId="0" borderId="0" xfId="3" applyNumberFormat="1"/>
    <xf numFmtId="0" fontId="2" fillId="0" borderId="0" xfId="3" applyFont="1"/>
    <xf numFmtId="0" fontId="1" fillId="0" borderId="0" xfId="3" applyFont="1"/>
    <xf numFmtId="1" fontId="1" fillId="0" borderId="0" xfId="3" applyNumberFormat="1" applyFont="1"/>
    <xf numFmtId="1" fontId="1" fillId="0" borderId="0" xfId="3" applyNumberFormat="1" applyFont="1" applyFill="1" applyBorder="1" applyAlignment="1" applyProtection="1">
      <protection locked="0"/>
    </xf>
    <xf numFmtId="164" fontId="1" fillId="0" borderId="0" xfId="3" applyNumberFormat="1"/>
    <xf numFmtId="0" fontId="1" fillId="0" borderId="0" xfId="3" applyFont="1" applyFill="1"/>
    <xf numFmtId="37" fontId="1" fillId="0" borderId="0" xfId="3" applyNumberFormat="1"/>
    <xf numFmtId="2" fontId="1" fillId="0" borderId="0" xfId="3" applyNumberFormat="1" applyFont="1" applyFill="1" applyBorder="1" applyAlignment="1" applyProtection="1">
      <protection locked="0"/>
    </xf>
    <xf numFmtId="164" fontId="1" fillId="2" borderId="0" xfId="3" applyNumberFormat="1" applyFill="1"/>
    <xf numFmtId="0" fontId="1" fillId="3" borderId="0" xfId="3" applyFont="1" applyFill="1"/>
    <xf numFmtId="0" fontId="1" fillId="4" borderId="0" xfId="3" applyFont="1" applyFill="1"/>
    <xf numFmtId="0" fontId="3" fillId="0" borderId="0" xfId="3" applyFont="1"/>
    <xf numFmtId="0" fontId="5" fillId="0" borderId="0" xfId="3" applyFont="1"/>
    <xf numFmtId="0" fontId="6" fillId="0" borderId="0" xfId="3" applyFont="1"/>
    <xf numFmtId="0" fontId="7" fillId="0" borderId="0" xfId="3" applyFont="1"/>
    <xf numFmtId="0" fontId="1" fillId="0" borderId="0" xfId="3" applyFill="1"/>
    <xf numFmtId="0" fontId="2" fillId="0" borderId="0" xfId="3" applyNumberFormat="1" applyFont="1" applyFill="1" applyBorder="1" applyAlignment="1" applyProtection="1">
      <alignment horizontal="right"/>
      <protection locked="0"/>
    </xf>
    <xf numFmtId="0" fontId="1" fillId="0" borderId="0" xfId="3" applyNumberFormat="1" applyFont="1" applyFill="1" applyBorder="1" applyAlignment="1" applyProtection="1">
      <alignment horizontal="right"/>
      <protection locked="0"/>
    </xf>
    <xf numFmtId="10" fontId="1" fillId="0" borderId="0" xfId="3" applyNumberFormat="1"/>
    <xf numFmtId="3" fontId="2" fillId="0" borderId="0" xfId="3" applyNumberFormat="1" applyFont="1" applyFill="1" applyBorder="1" applyAlignment="1" applyProtection="1">
      <protection locked="0"/>
    </xf>
    <xf numFmtId="165" fontId="1" fillId="0" borderId="0" xfId="3" applyNumberFormat="1" applyFont="1" applyFill="1" applyBorder="1" applyAlignment="1" applyProtection="1">
      <protection locked="0"/>
    </xf>
    <xf numFmtId="0" fontId="1" fillId="0" borderId="0" xfId="3" applyFont="1" applyAlignment="1">
      <alignment horizontal="center"/>
    </xf>
    <xf numFmtId="0" fontId="2" fillId="0" borderId="0" xfId="3" applyFont="1" applyAlignment="1">
      <alignment horizontal="center"/>
    </xf>
    <xf numFmtId="3" fontId="1" fillId="0" borderId="0" xfId="3" applyNumberFormat="1" applyFill="1"/>
    <xf numFmtId="9" fontId="1" fillId="0" borderId="0" xfId="2" applyFont="1" applyFill="1" applyBorder="1" applyAlignment="1" applyProtection="1">
      <alignment horizontal="center"/>
    </xf>
    <xf numFmtId="0" fontId="1" fillId="0" borderId="0" xfId="3" applyFont="1" applyFill="1" applyAlignment="1">
      <alignment horizontal="right"/>
    </xf>
    <xf numFmtId="167" fontId="1" fillId="0" borderId="0" xfId="1" applyNumberFormat="1" applyFont="1" applyFill="1" applyBorder="1" applyAlignment="1" applyProtection="1">
      <alignment horizontal="center"/>
    </xf>
    <xf numFmtId="167" fontId="1" fillId="0" borderId="0" xfId="3" applyNumberFormat="1"/>
    <xf numFmtId="167" fontId="1" fillId="0" borderId="0" xfId="1" applyNumberFormat="1" applyFont="1" applyFill="1" applyBorder="1" applyAlignment="1" applyProtection="1"/>
    <xf numFmtId="167" fontId="1" fillId="0" borderId="0" xfId="3" applyNumberFormat="1" applyFont="1" applyAlignment="1">
      <alignment horizontal="right"/>
    </xf>
    <xf numFmtId="167" fontId="1" fillId="0" borderId="0" xfId="1" applyNumberFormat="1" applyFont="1" applyFill="1" applyBorder="1" applyAlignment="1" applyProtection="1">
      <alignment horizontal="right"/>
    </xf>
    <xf numFmtId="167" fontId="1" fillId="2" borderId="0" xfId="1" applyNumberFormat="1" applyFont="1" applyFill="1" applyBorder="1" applyAlignment="1" applyProtection="1"/>
    <xf numFmtId="167" fontId="1" fillId="2" borderId="0" xfId="3" applyNumberFormat="1" applyFill="1"/>
    <xf numFmtId="0" fontId="9" fillId="0" borderId="0" xfId="3" applyFont="1"/>
    <xf numFmtId="0" fontId="2" fillId="2" borderId="0" xfId="3" applyFont="1" applyFill="1"/>
    <xf numFmtId="0" fontId="2" fillId="0" borderId="1" xfId="3" applyFont="1" applyBorder="1"/>
    <xf numFmtId="0" fontId="2" fillId="0" borderId="2" xfId="3" applyFont="1" applyBorder="1"/>
    <xf numFmtId="0" fontId="1" fillId="0" borderId="3" xfId="3" applyBorder="1"/>
    <xf numFmtId="1" fontId="1" fillId="0" borderId="4" xfId="3" applyNumberFormat="1" applyFont="1" applyBorder="1"/>
    <xf numFmtId="0" fontId="1" fillId="0" borderId="5" xfId="3" applyBorder="1"/>
    <xf numFmtId="0" fontId="1" fillId="0" borderId="1" xfId="3" applyBorder="1"/>
    <xf numFmtId="0" fontId="1" fillId="0" borderId="2" xfId="3" applyBorder="1"/>
    <xf numFmtId="2" fontId="1" fillId="0" borderId="4" xfId="3" applyNumberFormat="1" applyBorder="1"/>
    <xf numFmtId="0" fontId="1" fillId="0" borderId="4" xfId="3" applyBorder="1"/>
    <xf numFmtId="1" fontId="1" fillId="0" borderId="5" xfId="3" applyNumberFormat="1" applyBorder="1"/>
    <xf numFmtId="2" fontId="2" fillId="2" borderId="0" xfId="3" applyNumberFormat="1" applyFont="1" applyFill="1"/>
    <xf numFmtId="3" fontId="2" fillId="0" borderId="0" xfId="3" applyNumberFormat="1" applyFont="1"/>
    <xf numFmtId="3" fontId="2" fillId="0" borderId="4" xfId="3" applyNumberFormat="1" applyFont="1" applyBorder="1"/>
    <xf numFmtId="3" fontId="2" fillId="0" borderId="5" xfId="3" applyNumberFormat="1" applyFont="1" applyBorder="1"/>
    <xf numFmtId="0" fontId="2" fillId="0" borderId="5" xfId="3" applyFont="1" applyBorder="1"/>
    <xf numFmtId="3" fontId="1" fillId="0" borderId="5" xfId="3" applyNumberFormat="1" applyBorder="1"/>
    <xf numFmtId="2" fontId="1" fillId="0" borderId="0" xfId="3" applyNumberFormat="1" applyFill="1"/>
    <xf numFmtId="1" fontId="2" fillId="0" borderId="5" xfId="3" applyNumberFormat="1" applyFont="1" applyBorder="1"/>
    <xf numFmtId="2" fontId="1" fillId="2" borderId="0" xfId="3" applyNumberFormat="1" applyFill="1"/>
    <xf numFmtId="3" fontId="1" fillId="2" borderId="0" xfId="3" applyNumberFormat="1" applyFill="1"/>
    <xf numFmtId="0" fontId="1" fillId="0" borderId="4" xfId="3" applyFont="1" applyBorder="1"/>
    <xf numFmtId="3" fontId="1" fillId="0" borderId="0" xfId="3" applyNumberFormat="1" applyFont="1" applyBorder="1"/>
    <xf numFmtId="3" fontId="1" fillId="0" borderId="5" xfId="3" applyNumberFormat="1" applyFont="1" applyBorder="1"/>
    <xf numFmtId="2" fontId="2" fillId="0" borderId="0" xfId="3" applyNumberFormat="1" applyFont="1"/>
    <xf numFmtId="168" fontId="2" fillId="0" borderId="0" xfId="3" applyNumberFormat="1" applyFont="1"/>
    <xf numFmtId="168" fontId="2" fillId="0" borderId="4" xfId="3" applyNumberFormat="1" applyFont="1" applyBorder="1"/>
    <xf numFmtId="3" fontId="2" fillId="0" borderId="5" xfId="3" applyNumberFormat="1" applyFont="1" applyBorder="1" applyAlignment="1">
      <alignment horizontal="center"/>
    </xf>
    <xf numFmtId="37" fontId="2" fillId="0" borderId="0" xfId="3" applyNumberFormat="1" applyFont="1"/>
    <xf numFmtId="37" fontId="2" fillId="0" borderId="4" xfId="3" applyNumberFormat="1" applyFont="1" applyBorder="1"/>
    <xf numFmtId="37" fontId="2" fillId="0" borderId="0" xfId="3" applyNumberFormat="1" applyFont="1" applyBorder="1"/>
    <xf numFmtId="37" fontId="2" fillId="0" borderId="5" xfId="3" applyNumberFormat="1" applyFont="1" applyBorder="1"/>
    <xf numFmtId="169" fontId="2" fillId="0" borderId="5" xfId="3" applyNumberFormat="1" applyFont="1" applyBorder="1" applyAlignment="1">
      <alignment horizontal="center"/>
    </xf>
    <xf numFmtId="3" fontId="1" fillId="0" borderId="0" xfId="3" applyNumberFormat="1" applyBorder="1"/>
    <xf numFmtId="0" fontId="2" fillId="0" borderId="0" xfId="3" applyFont="1" applyFill="1"/>
    <xf numFmtId="0" fontId="2" fillId="3" borderId="4" xfId="3" applyFont="1" applyFill="1" applyBorder="1"/>
    <xf numFmtId="3" fontId="2" fillId="0" borderId="0" xfId="3" applyNumberFormat="1" applyFont="1" applyBorder="1"/>
    <xf numFmtId="169" fontId="2" fillId="0" borderId="5" xfId="3" applyNumberFormat="1" applyFont="1" applyBorder="1"/>
    <xf numFmtId="0" fontId="1" fillId="0" borderId="4" xfId="3" applyFont="1" applyFill="1" applyBorder="1"/>
    <xf numFmtId="4" fontId="2" fillId="0" borderId="0" xfId="3" applyNumberFormat="1" applyFont="1"/>
    <xf numFmtId="169" fontId="2" fillId="0" borderId="5" xfId="3" applyNumberFormat="1" applyFont="1" applyBorder="1" applyAlignment="1">
      <alignment horizontal="left"/>
    </xf>
    <xf numFmtId="3" fontId="2" fillId="0" borderId="0" xfId="3" applyNumberFormat="1" applyFont="1" applyBorder="1" applyAlignment="1">
      <alignment horizontal="center"/>
    </xf>
    <xf numFmtId="37" fontId="1" fillId="0" borderId="0" xfId="3" applyNumberFormat="1" applyBorder="1"/>
    <xf numFmtId="0" fontId="1" fillId="0" borderId="0" xfId="3" applyBorder="1"/>
    <xf numFmtId="0" fontId="2" fillId="0" borderId="0" xfId="3" applyFont="1" applyBorder="1"/>
    <xf numFmtId="3" fontId="1" fillId="0" borderId="0" xfId="3" applyNumberFormat="1" applyFont="1"/>
    <xf numFmtId="169" fontId="2" fillId="0" borderId="0" xfId="3" applyNumberFormat="1" applyFont="1" applyBorder="1"/>
    <xf numFmtId="0" fontId="2" fillId="0" borderId="4" xfId="3" applyFont="1" applyBorder="1"/>
    <xf numFmtId="10" fontId="2" fillId="0" borderId="0" xfId="3" applyNumberFormat="1" applyFont="1"/>
    <xf numFmtId="1" fontId="2" fillId="0" borderId="5" xfId="3" applyNumberFormat="1" applyFont="1" applyBorder="1" applyAlignment="1">
      <alignment horizontal="center"/>
    </xf>
    <xf numFmtId="170" fontId="2" fillId="0" borderId="0" xfId="3" applyNumberFormat="1" applyFont="1"/>
    <xf numFmtId="0" fontId="1" fillId="0" borderId="5" xfId="3" applyFont="1" applyBorder="1" applyAlignment="1">
      <alignment horizontal="center"/>
    </xf>
    <xf numFmtId="3" fontId="1" fillId="0" borderId="6" xfId="3" applyNumberFormat="1" applyBorder="1"/>
    <xf numFmtId="3" fontId="1" fillId="0" borderId="7" xfId="3" applyNumberFormat="1" applyBorder="1"/>
    <xf numFmtId="0" fontId="1" fillId="0" borderId="8" xfId="3" applyBorder="1"/>
    <xf numFmtId="3" fontId="1" fillId="0" borderId="0" xfId="3" applyNumberFormat="1" applyFont="1" applyAlignment="1">
      <alignment horizontal="left"/>
    </xf>
    <xf numFmtId="3" fontId="1" fillId="0" borderId="0" xfId="3" applyNumberFormat="1" applyAlignment="1">
      <alignment horizontal="left"/>
    </xf>
    <xf numFmtId="0" fontId="1" fillId="0" borderId="0" xfId="3" applyAlignment="1">
      <alignment horizontal="left"/>
    </xf>
    <xf numFmtId="169" fontId="2" fillId="0" borderId="0" xfId="3" applyNumberFormat="1" applyFont="1" applyBorder="1" applyAlignment="1">
      <alignment horizontal="center"/>
    </xf>
    <xf numFmtId="0" fontId="1" fillId="0" borderId="6" xfId="3" applyBorder="1"/>
    <xf numFmtId="0" fontId="1" fillId="0" borderId="7" xfId="3" applyBorder="1"/>
    <xf numFmtId="0" fontId="10" fillId="0" borderId="0" xfId="3" applyFont="1"/>
    <xf numFmtId="3" fontId="10" fillId="0" borderId="0" xfId="3" applyNumberFormat="1" applyFont="1"/>
    <xf numFmtId="4" fontId="10" fillId="0" borderId="0" xfId="3" applyNumberFormat="1" applyFont="1"/>
    <xf numFmtId="171" fontId="2" fillId="0" borderId="0" xfId="3" applyNumberFormat="1" applyFont="1"/>
    <xf numFmtId="164" fontId="5" fillId="0" borderId="0" xfId="3" applyNumberFormat="1" applyFont="1"/>
  </cellXfs>
  <cellStyles count="4">
    <cellStyle name="Comma" xfId="1" builtinId="3"/>
    <cellStyle name="Excel Built-in Normal" xf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3FF2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workbookViewId="0"/>
  </sheetViews>
  <sheetFormatPr defaultColWidth="11.44140625" defaultRowHeight="13.2"/>
  <cols>
    <col min="1" max="1" width="6.88671875" style="1" customWidth="1"/>
    <col min="2" max="2" width="11.44140625" style="1"/>
    <col min="3" max="3" width="6.5546875" style="1" customWidth="1"/>
    <col min="4" max="4" width="12.44140625" style="1" customWidth="1"/>
    <col min="5" max="5" width="15.44140625" style="1" customWidth="1"/>
    <col min="6" max="6" width="4.88671875" style="2" customWidth="1"/>
    <col min="7" max="7" width="12.109375" style="2" customWidth="1"/>
    <col min="8" max="8" width="8.6640625" style="1" customWidth="1"/>
    <col min="9" max="9" width="9.44140625" style="1" customWidth="1"/>
    <col min="10" max="11" width="10" style="1" customWidth="1"/>
    <col min="12" max="16384" width="11.44140625" style="1"/>
  </cols>
  <sheetData>
    <row r="1" spans="1:7">
      <c r="A1" s="3" t="s">
        <v>0</v>
      </c>
    </row>
    <row r="3" spans="1:7">
      <c r="A3" s="4" t="s">
        <v>1</v>
      </c>
    </row>
    <row r="4" spans="1:7">
      <c r="B4" s="2" t="s">
        <v>2</v>
      </c>
    </row>
    <row r="5" spans="1:7">
      <c r="B5" s="2" t="s">
        <v>3</v>
      </c>
    </row>
    <row r="6" spans="1:7">
      <c r="B6" s="1" t="s">
        <v>4</v>
      </c>
    </row>
    <row r="8" spans="1:7">
      <c r="B8" s="1" t="s">
        <v>5</v>
      </c>
    </row>
    <row r="9" spans="1:7">
      <c r="B9" s="1" t="s">
        <v>6</v>
      </c>
    </row>
    <row r="10" spans="1:7">
      <c r="A10" s="5"/>
      <c r="B10" s="1" t="s">
        <v>7</v>
      </c>
    </row>
    <row r="12" spans="1:7">
      <c r="A12" s="2" t="s">
        <v>8</v>
      </c>
      <c r="D12" s="6" t="s">
        <v>9</v>
      </c>
      <c r="E12" s="6"/>
      <c r="G12" s="7">
        <v>700000</v>
      </c>
    </row>
    <row r="13" spans="1:7">
      <c r="A13" s="2" t="s">
        <v>10</v>
      </c>
      <c r="D13" s="6" t="s">
        <v>9</v>
      </c>
      <c r="E13" s="8">
        <f>+G13*100</f>
        <v>6</v>
      </c>
      <c r="F13" s="9" t="s">
        <v>11</v>
      </c>
      <c r="G13" s="10">
        <v>0.06</v>
      </c>
    </row>
    <row r="14" spans="1:7">
      <c r="A14" s="2" t="s">
        <v>12</v>
      </c>
      <c r="G14" s="11">
        <f>+G12*G13</f>
        <v>42000</v>
      </c>
    </row>
    <row r="15" spans="1:7">
      <c r="A15" s="2" t="s">
        <v>13</v>
      </c>
    </row>
    <row r="17" spans="1:13">
      <c r="G17" s="2" t="s">
        <v>14</v>
      </c>
      <c r="H17" s="1" t="s">
        <v>15</v>
      </c>
      <c r="J17" s="1" t="s">
        <v>16</v>
      </c>
    </row>
    <row r="18" spans="1:13">
      <c r="A18" s="2" t="s">
        <v>17</v>
      </c>
      <c r="G18" s="2" t="s">
        <v>18</v>
      </c>
      <c r="H18" s="1" t="s">
        <v>19</v>
      </c>
      <c r="I18" s="1" t="s">
        <v>20</v>
      </c>
      <c r="J18" s="1" t="s">
        <v>21</v>
      </c>
      <c r="K18" s="1" t="s">
        <v>22</v>
      </c>
      <c r="L18" s="1" t="s">
        <v>23</v>
      </c>
      <c r="M18" s="1" t="s">
        <v>24</v>
      </c>
    </row>
    <row r="19" spans="1:13">
      <c r="A19" s="2" t="s">
        <v>25</v>
      </c>
      <c r="B19" s="2" t="s">
        <v>26</v>
      </c>
      <c r="C19" s="2" t="s">
        <v>27</v>
      </c>
      <c r="D19" s="2" t="s">
        <v>28</v>
      </c>
      <c r="E19" s="2" t="s">
        <v>29</v>
      </c>
      <c r="G19" s="10">
        <v>0.03</v>
      </c>
      <c r="H19" s="2"/>
      <c r="I19" s="10">
        <v>0.01</v>
      </c>
      <c r="J19" s="10"/>
      <c r="M19" s="1" t="s">
        <v>30</v>
      </c>
    </row>
    <row r="20" spans="1:13">
      <c r="A20" s="2">
        <v>1</v>
      </c>
      <c r="B20" s="11">
        <f>+G14</f>
        <v>42000</v>
      </c>
      <c r="C20" s="10">
        <v>1.03</v>
      </c>
      <c r="D20" s="11">
        <f t="shared" ref="D20:D39" si="0">+B20</f>
        <v>42000</v>
      </c>
      <c r="G20" s="2">
        <f t="shared" ref="G20:G39" si="1">+D20*$G$19</f>
        <v>1260</v>
      </c>
      <c r="H20" s="8">
        <f>G20</f>
        <v>1260</v>
      </c>
      <c r="I20" s="2">
        <f t="shared" ref="I20:I39" si="2">+D20*$I$19</f>
        <v>420</v>
      </c>
      <c r="J20" s="2">
        <f>I20</f>
        <v>420</v>
      </c>
      <c r="K20" s="12">
        <f t="shared" ref="K20:K39" si="3">+D20+H20+J20</f>
        <v>43680</v>
      </c>
      <c r="L20" s="12">
        <f>+K20</f>
        <v>43680</v>
      </c>
      <c r="M20" s="8">
        <f t="shared" ref="M20:M39" si="4">B46-L20</f>
        <v>656320</v>
      </c>
    </row>
    <row r="21" spans="1:13">
      <c r="A21" s="2">
        <v>2</v>
      </c>
      <c r="B21" s="11">
        <f t="shared" ref="B21:B39" si="5">+B20*$C$20</f>
        <v>43260</v>
      </c>
      <c r="D21" s="11">
        <f t="shared" si="0"/>
        <v>43260</v>
      </c>
      <c r="E21" s="11"/>
      <c r="F21" s="11"/>
      <c r="G21" s="11">
        <f t="shared" si="1"/>
        <v>1297.8</v>
      </c>
      <c r="H21" s="11">
        <f t="shared" ref="H21:H39" si="6">(H20+G21)*1.03</f>
        <v>2634.5340000000001</v>
      </c>
      <c r="I21" s="11">
        <f t="shared" si="2"/>
        <v>432.6</v>
      </c>
      <c r="J21" s="11">
        <f t="shared" ref="J21:J39" si="7">J20+I21</f>
        <v>852.6</v>
      </c>
      <c r="K21" s="12">
        <f t="shared" si="3"/>
        <v>46747.133999999998</v>
      </c>
      <c r="L21" s="13">
        <f t="shared" ref="L21:L39" si="8">+L20+K21</f>
        <v>90427.133999999991</v>
      </c>
      <c r="M21" s="13">
        <f t="shared" si="4"/>
        <v>637572.86600000004</v>
      </c>
    </row>
    <row r="22" spans="1:13">
      <c r="A22" s="2">
        <v>3</v>
      </c>
      <c r="B22" s="11">
        <f t="shared" si="5"/>
        <v>44557.8</v>
      </c>
      <c r="D22" s="11">
        <f t="shared" si="0"/>
        <v>44557.8</v>
      </c>
      <c r="E22" s="11"/>
      <c r="F22" s="11"/>
      <c r="G22" s="11">
        <f t="shared" si="1"/>
        <v>1336.7340000000002</v>
      </c>
      <c r="H22" s="11">
        <f t="shared" si="6"/>
        <v>4090.4060400000003</v>
      </c>
      <c r="I22" s="11">
        <f t="shared" si="2"/>
        <v>445.57800000000003</v>
      </c>
      <c r="J22" s="11">
        <f t="shared" si="7"/>
        <v>1298.1780000000001</v>
      </c>
      <c r="K22" s="12">
        <f t="shared" si="3"/>
        <v>49946.384040000004</v>
      </c>
      <c r="L22" s="13">
        <f t="shared" si="8"/>
        <v>140373.51804</v>
      </c>
      <c r="M22" s="13">
        <f t="shared" si="4"/>
        <v>616746.48196</v>
      </c>
    </row>
    <row r="23" spans="1:13">
      <c r="A23" s="2">
        <v>4</v>
      </c>
      <c r="B23" s="11">
        <f t="shared" si="5"/>
        <v>45894.534000000007</v>
      </c>
      <c r="D23" s="11">
        <f t="shared" si="0"/>
        <v>45894.534000000007</v>
      </c>
      <c r="E23" s="11"/>
      <c r="F23" s="11"/>
      <c r="G23" s="11">
        <f t="shared" si="1"/>
        <v>1376.8360200000002</v>
      </c>
      <c r="H23" s="11">
        <f t="shared" si="6"/>
        <v>5631.2593218000011</v>
      </c>
      <c r="I23" s="11">
        <f t="shared" si="2"/>
        <v>458.9453400000001</v>
      </c>
      <c r="J23" s="11">
        <f t="shared" si="7"/>
        <v>1757.1233400000001</v>
      </c>
      <c r="K23" s="12">
        <f t="shared" si="3"/>
        <v>53282.916661800009</v>
      </c>
      <c r="L23" s="13">
        <f t="shared" si="8"/>
        <v>193656.4347018</v>
      </c>
      <c r="M23" s="13">
        <f t="shared" si="4"/>
        <v>593748.36529820005</v>
      </c>
    </row>
    <row r="24" spans="1:13">
      <c r="A24" s="2">
        <v>5</v>
      </c>
      <c r="B24" s="11">
        <f t="shared" si="5"/>
        <v>47271.370020000009</v>
      </c>
      <c r="D24" s="11">
        <f t="shared" si="0"/>
        <v>47271.370020000009</v>
      </c>
      <c r="E24" s="11"/>
      <c r="F24" s="11"/>
      <c r="G24" s="11">
        <f t="shared" si="1"/>
        <v>1418.1411006000003</v>
      </c>
      <c r="H24" s="11">
        <f t="shared" si="6"/>
        <v>7260.8824350720024</v>
      </c>
      <c r="I24" s="11">
        <f t="shared" si="2"/>
        <v>472.71370020000012</v>
      </c>
      <c r="J24" s="11">
        <f t="shared" si="7"/>
        <v>2229.8370402</v>
      </c>
      <c r="K24" s="12">
        <f t="shared" si="3"/>
        <v>56762.089495272012</v>
      </c>
      <c r="L24" s="13">
        <f t="shared" si="8"/>
        <v>250418.52419707202</v>
      </c>
      <c r="M24" s="13">
        <f t="shared" si="4"/>
        <v>568482.46780292806</v>
      </c>
    </row>
    <row r="25" spans="1:13">
      <c r="A25" s="2">
        <v>6</v>
      </c>
      <c r="B25" s="11">
        <f t="shared" si="5"/>
        <v>48689.511120600007</v>
      </c>
      <c r="D25" s="11">
        <f t="shared" si="0"/>
        <v>48689.511120600007</v>
      </c>
      <c r="E25" s="11"/>
      <c r="F25" s="11"/>
      <c r="G25" s="11">
        <f t="shared" si="1"/>
        <v>1460.6853336180002</v>
      </c>
      <c r="H25" s="11">
        <f t="shared" si="6"/>
        <v>8983.2148017507025</v>
      </c>
      <c r="I25" s="11">
        <f t="shared" si="2"/>
        <v>486.89511120600008</v>
      </c>
      <c r="J25" s="11">
        <f t="shared" si="7"/>
        <v>2716.732151406</v>
      </c>
      <c r="K25" s="12">
        <f t="shared" si="3"/>
        <v>60389.458073756716</v>
      </c>
      <c r="L25" s="13">
        <f t="shared" si="8"/>
        <v>310807.98227082874</v>
      </c>
      <c r="M25" s="13">
        <f t="shared" si="4"/>
        <v>540849.04940917133</v>
      </c>
    </row>
    <row r="26" spans="1:13">
      <c r="A26" s="2">
        <v>7</v>
      </c>
      <c r="B26" s="11">
        <f t="shared" si="5"/>
        <v>50150.196454218007</v>
      </c>
      <c r="D26" s="11">
        <f t="shared" si="0"/>
        <v>50150.196454218007</v>
      </c>
      <c r="E26" s="11"/>
      <c r="F26" s="11"/>
      <c r="G26" s="11">
        <f t="shared" si="1"/>
        <v>1504.5058936265402</v>
      </c>
      <c r="H26" s="11">
        <f t="shared" si="6"/>
        <v>10802.352316238559</v>
      </c>
      <c r="I26" s="11">
        <f t="shared" si="2"/>
        <v>501.50196454218008</v>
      </c>
      <c r="J26" s="11">
        <f t="shared" si="7"/>
        <v>3218.2341159481803</v>
      </c>
      <c r="K26" s="12">
        <f t="shared" si="3"/>
        <v>64170.782886404748</v>
      </c>
      <c r="L26" s="13">
        <f t="shared" si="8"/>
        <v>374978.76515723346</v>
      </c>
      <c r="M26" s="13">
        <f t="shared" si="4"/>
        <v>510744.54778996669</v>
      </c>
    </row>
    <row r="27" spans="1:13">
      <c r="A27" s="2">
        <v>8</v>
      </c>
      <c r="B27" s="11">
        <f t="shared" si="5"/>
        <v>51654.702347844548</v>
      </c>
      <c r="D27" s="11">
        <f t="shared" si="0"/>
        <v>51654.702347844548</v>
      </c>
      <c r="E27" s="11"/>
      <c r="F27" s="11"/>
      <c r="G27" s="11">
        <f t="shared" si="1"/>
        <v>1549.6410704353364</v>
      </c>
      <c r="H27" s="11">
        <f t="shared" si="6"/>
        <v>12722.553188274112</v>
      </c>
      <c r="I27" s="11">
        <f t="shared" si="2"/>
        <v>516.54702347844545</v>
      </c>
      <c r="J27" s="11">
        <f t="shared" si="7"/>
        <v>3734.7811394266255</v>
      </c>
      <c r="K27" s="12">
        <f t="shared" si="3"/>
        <v>68112.036675545285</v>
      </c>
      <c r="L27" s="13">
        <f t="shared" si="8"/>
        <v>443090.80183277873</v>
      </c>
      <c r="M27" s="13">
        <f t="shared" si="4"/>
        <v>478061.44363230944</v>
      </c>
    </row>
    <row r="28" spans="1:13">
      <c r="A28" s="2">
        <v>9</v>
      </c>
      <c r="B28" s="11">
        <f t="shared" si="5"/>
        <v>53204.343418279888</v>
      </c>
      <c r="D28" s="11">
        <f t="shared" si="0"/>
        <v>53204.343418279888</v>
      </c>
      <c r="E28" s="11"/>
      <c r="F28" s="11"/>
      <c r="G28" s="11">
        <f t="shared" si="1"/>
        <v>1596.1303025483967</v>
      </c>
      <c r="H28" s="11">
        <f t="shared" si="6"/>
        <v>14748.243995547185</v>
      </c>
      <c r="I28" s="11">
        <f t="shared" si="2"/>
        <v>532.04343418279893</v>
      </c>
      <c r="J28" s="11">
        <f t="shared" si="7"/>
        <v>4266.8245736094241</v>
      </c>
      <c r="K28" s="12">
        <f t="shared" si="3"/>
        <v>72219.411987436499</v>
      </c>
      <c r="L28" s="13">
        <f t="shared" si="8"/>
        <v>515310.2138202152</v>
      </c>
      <c r="M28" s="13">
        <f t="shared" si="4"/>
        <v>442688.12146347656</v>
      </c>
    </row>
    <row r="29" spans="1:13">
      <c r="A29" s="2">
        <v>10</v>
      </c>
      <c r="B29" s="11">
        <f t="shared" si="5"/>
        <v>54800.47372082829</v>
      </c>
      <c r="D29" s="11">
        <f t="shared" si="0"/>
        <v>54800.47372082829</v>
      </c>
      <c r="E29" s="11"/>
      <c r="F29" s="11"/>
      <c r="G29" s="11">
        <f t="shared" si="1"/>
        <v>1644.0142116248487</v>
      </c>
      <c r="H29" s="11">
        <f t="shared" si="6"/>
        <v>16884.025953387198</v>
      </c>
      <c r="I29" s="11">
        <f t="shared" si="2"/>
        <v>548.0047372082829</v>
      </c>
      <c r="J29" s="11">
        <f t="shared" si="7"/>
        <v>4814.8293108177068</v>
      </c>
      <c r="K29" s="12">
        <f t="shared" si="3"/>
        <v>76499.328985033193</v>
      </c>
      <c r="L29" s="13">
        <f t="shared" si="8"/>
        <v>591809.54280524841</v>
      </c>
      <c r="M29" s="13">
        <f t="shared" si="4"/>
        <v>404508.72588979104</v>
      </c>
    </row>
    <row r="30" spans="1:13">
      <c r="A30" s="2">
        <v>11</v>
      </c>
      <c r="B30" s="11">
        <f t="shared" si="5"/>
        <v>56444.487932453143</v>
      </c>
      <c r="D30" s="11">
        <f t="shared" si="0"/>
        <v>56444.487932453143</v>
      </c>
      <c r="E30" s="11"/>
      <c r="F30" s="11"/>
      <c r="G30" s="11">
        <f t="shared" si="1"/>
        <v>1693.3346379735942</v>
      </c>
      <c r="H30" s="11">
        <f t="shared" si="6"/>
        <v>19134.681409101617</v>
      </c>
      <c r="I30" s="11">
        <f t="shared" si="2"/>
        <v>564.44487932453148</v>
      </c>
      <c r="J30" s="11">
        <f t="shared" si="7"/>
        <v>5379.2741901422378</v>
      </c>
      <c r="K30" s="12">
        <f t="shared" si="3"/>
        <v>80958.443531697005</v>
      </c>
      <c r="L30" s="13">
        <f t="shared" si="8"/>
        <v>672767.98633694544</v>
      </c>
      <c r="M30" s="13">
        <f t="shared" si="4"/>
        <v>363403.0131058956</v>
      </c>
    </row>
    <row r="31" spans="1:13">
      <c r="A31" s="2">
        <v>12</v>
      </c>
      <c r="B31" s="11">
        <f t="shared" si="5"/>
        <v>58137.822570426739</v>
      </c>
      <c r="D31" s="11">
        <f t="shared" si="0"/>
        <v>58137.822570426739</v>
      </c>
      <c r="E31" s="11"/>
      <c r="F31" s="11"/>
      <c r="G31" s="11">
        <f t="shared" si="1"/>
        <v>1744.1346771128021</v>
      </c>
      <c r="H31" s="11">
        <f t="shared" si="6"/>
        <v>21505.18056880085</v>
      </c>
      <c r="I31" s="11">
        <f t="shared" si="2"/>
        <v>581.37822570426738</v>
      </c>
      <c r="J31" s="11">
        <f t="shared" si="7"/>
        <v>5960.6524158465054</v>
      </c>
      <c r="K31" s="12">
        <f t="shared" si="3"/>
        <v>85603.655555074089</v>
      </c>
      <c r="L31" s="13">
        <f t="shared" si="8"/>
        <v>758371.64189201954</v>
      </c>
      <c r="M31" s="13">
        <f t="shared" si="4"/>
        <v>319246.19752853515</v>
      </c>
    </row>
    <row r="32" spans="1:13">
      <c r="A32" s="2">
        <v>13</v>
      </c>
      <c r="B32" s="11">
        <f t="shared" si="5"/>
        <v>59881.95724753954</v>
      </c>
      <c r="D32" s="11">
        <f t="shared" si="0"/>
        <v>59881.95724753954</v>
      </c>
      <c r="E32" s="11"/>
      <c r="F32" s="11"/>
      <c r="G32" s="11">
        <f t="shared" si="1"/>
        <v>1796.4587174261862</v>
      </c>
      <c r="H32" s="11">
        <f t="shared" si="6"/>
        <v>24000.688464813848</v>
      </c>
      <c r="I32" s="11">
        <f t="shared" si="2"/>
        <v>598.81957247539538</v>
      </c>
      <c r="J32" s="11">
        <f t="shared" si="7"/>
        <v>6559.4719883219004</v>
      </c>
      <c r="K32" s="12">
        <f t="shared" si="3"/>
        <v>90442.117700675299</v>
      </c>
      <c r="L32" s="13">
        <f t="shared" si="8"/>
        <v>848813.75959269481</v>
      </c>
      <c r="M32" s="13">
        <f t="shared" si="4"/>
        <v>271908.79340468219</v>
      </c>
    </row>
    <row r="33" spans="1:18">
      <c r="A33" s="2">
        <v>14</v>
      </c>
      <c r="B33" s="11">
        <f t="shared" si="5"/>
        <v>61678.41596496573</v>
      </c>
      <c r="D33" s="11">
        <f t="shared" si="0"/>
        <v>61678.41596496573</v>
      </c>
      <c r="E33" s="11"/>
      <c r="F33" s="11"/>
      <c r="G33" s="11">
        <f t="shared" si="1"/>
        <v>1850.3524789489718</v>
      </c>
      <c r="H33" s="11">
        <f t="shared" si="6"/>
        <v>26626.572172075703</v>
      </c>
      <c r="I33" s="11">
        <f t="shared" si="2"/>
        <v>616.78415964965734</v>
      </c>
      <c r="J33" s="11">
        <f t="shared" si="7"/>
        <v>7176.2561479715578</v>
      </c>
      <c r="K33" s="12">
        <f t="shared" si="3"/>
        <v>95481.244285012988</v>
      </c>
      <c r="L33" s="13">
        <f t="shared" si="8"/>
        <v>944295.00387770776</v>
      </c>
      <c r="M33" s="13">
        <f t="shared" si="4"/>
        <v>221256.45123956446</v>
      </c>
    </row>
    <row r="34" spans="1:18">
      <c r="A34" s="2">
        <v>15</v>
      </c>
      <c r="B34" s="11">
        <f t="shared" si="5"/>
        <v>63528.768443914705</v>
      </c>
      <c r="D34" s="11">
        <f t="shared" si="0"/>
        <v>63528.768443914705</v>
      </c>
      <c r="E34" s="11"/>
      <c r="F34" s="11"/>
      <c r="G34" s="11">
        <f t="shared" si="1"/>
        <v>1905.863053317441</v>
      </c>
      <c r="H34" s="11">
        <f t="shared" si="6"/>
        <v>29388.408282154938</v>
      </c>
      <c r="I34" s="11">
        <f t="shared" si="2"/>
        <v>635.28768443914703</v>
      </c>
      <c r="J34" s="11">
        <f t="shared" si="7"/>
        <v>7811.5438324107045</v>
      </c>
      <c r="K34" s="12">
        <f t="shared" si="3"/>
        <v>100728.72055848036</v>
      </c>
      <c r="L34" s="13">
        <f t="shared" si="8"/>
        <v>1045023.7244361881</v>
      </c>
      <c r="M34" s="13">
        <f t="shared" si="4"/>
        <v>167149.78888577502</v>
      </c>
    </row>
    <row r="35" spans="1:18">
      <c r="A35" s="2">
        <v>16</v>
      </c>
      <c r="B35" s="11">
        <f t="shared" si="5"/>
        <v>65434.631497232149</v>
      </c>
      <c r="D35" s="11">
        <f t="shared" si="0"/>
        <v>65434.631497232149</v>
      </c>
      <c r="E35" s="11"/>
      <c r="F35" s="11"/>
      <c r="G35" s="11">
        <f t="shared" si="1"/>
        <v>1963.0389449169643</v>
      </c>
      <c r="H35" s="11">
        <f t="shared" si="6"/>
        <v>32291.990643884059</v>
      </c>
      <c r="I35" s="11">
        <f t="shared" si="2"/>
        <v>654.34631497232147</v>
      </c>
      <c r="J35" s="11">
        <f t="shared" si="7"/>
        <v>8465.8901473830265</v>
      </c>
      <c r="K35" s="12">
        <f t="shared" si="3"/>
        <v>106192.51228849925</v>
      </c>
      <c r="L35" s="13">
        <f t="shared" si="8"/>
        <v>1151216.2367246873</v>
      </c>
      <c r="M35" s="13">
        <f t="shared" si="4"/>
        <v>109444.21713015437</v>
      </c>
    </row>
    <row r="36" spans="1:18">
      <c r="A36" s="2">
        <v>17</v>
      </c>
      <c r="B36" s="11">
        <f t="shared" si="5"/>
        <v>67397.670442149116</v>
      </c>
      <c r="D36" s="11">
        <f t="shared" si="0"/>
        <v>67397.670442149116</v>
      </c>
      <c r="E36" s="11"/>
      <c r="F36" s="11"/>
      <c r="G36" s="11">
        <f t="shared" si="1"/>
        <v>2021.9301132644734</v>
      </c>
      <c r="H36" s="11">
        <f t="shared" si="6"/>
        <v>35343.338379862987</v>
      </c>
      <c r="I36" s="11">
        <f t="shared" si="2"/>
        <v>673.97670442149115</v>
      </c>
      <c r="J36" s="11">
        <f t="shared" si="7"/>
        <v>9139.8668518045179</v>
      </c>
      <c r="K36" s="12">
        <f t="shared" si="3"/>
        <v>111880.87567381663</v>
      </c>
      <c r="L36" s="13">
        <f t="shared" si="8"/>
        <v>1263097.1123985038</v>
      </c>
      <c r="M36" s="13">
        <f t="shared" si="4"/>
        <v>47989.759610531619</v>
      </c>
    </row>
    <row r="37" spans="1:18">
      <c r="A37" s="2">
        <v>18</v>
      </c>
      <c r="B37" s="11">
        <f t="shared" si="5"/>
        <v>69419.600555413592</v>
      </c>
      <c r="D37" s="11">
        <f t="shared" si="0"/>
        <v>69419.600555413592</v>
      </c>
      <c r="E37" s="11"/>
      <c r="F37" s="11"/>
      <c r="G37" s="11">
        <f t="shared" si="1"/>
        <v>2082.5880166624079</v>
      </c>
      <c r="H37" s="11">
        <f t="shared" si="6"/>
        <v>38548.704188421158</v>
      </c>
      <c r="I37" s="11">
        <f t="shared" si="2"/>
        <v>694.19600555413592</v>
      </c>
      <c r="J37" s="11">
        <f t="shared" si="7"/>
        <v>9834.0628573586546</v>
      </c>
      <c r="K37" s="12">
        <f t="shared" si="3"/>
        <v>117802.3676011934</v>
      </c>
      <c r="L37" s="13">
        <f t="shared" si="8"/>
        <v>1380899.4799996973</v>
      </c>
      <c r="M37" s="13">
        <f t="shared" si="4"/>
        <v>-17369.133110300405</v>
      </c>
    </row>
    <row r="38" spans="1:18">
      <c r="A38" s="2">
        <v>19</v>
      </c>
      <c r="B38" s="11">
        <f t="shared" si="5"/>
        <v>71502.188572076004</v>
      </c>
      <c r="D38" s="11">
        <f t="shared" si="0"/>
        <v>71502.188572076004</v>
      </c>
      <c r="E38" s="11"/>
      <c r="F38" s="11"/>
      <c r="G38" s="11">
        <f t="shared" si="1"/>
        <v>2145.0656571622799</v>
      </c>
      <c r="H38" s="11">
        <f t="shared" si="6"/>
        <v>41914.582940950946</v>
      </c>
      <c r="I38" s="11">
        <f t="shared" si="2"/>
        <v>715.02188572076</v>
      </c>
      <c r="J38" s="11">
        <f t="shared" si="7"/>
        <v>10549.084743079415</v>
      </c>
      <c r="K38" s="12">
        <f t="shared" si="3"/>
        <v>123965.85625610636</v>
      </c>
      <c r="L38" s="13">
        <f t="shared" si="8"/>
        <v>1504865.3362558037</v>
      </c>
      <c r="M38" s="13">
        <f t="shared" si="4"/>
        <v>-86793.775490830885</v>
      </c>
    </row>
    <row r="39" spans="1:18">
      <c r="A39" s="2">
        <v>20</v>
      </c>
      <c r="B39" s="11">
        <f t="shared" si="5"/>
        <v>73647.254229238286</v>
      </c>
      <c r="D39" s="11">
        <f t="shared" si="0"/>
        <v>73647.254229238286</v>
      </c>
      <c r="E39" s="11"/>
      <c r="F39" s="11"/>
      <c r="G39" s="11">
        <f t="shared" si="1"/>
        <v>2209.4176268771485</v>
      </c>
      <c r="H39" s="11">
        <f t="shared" si="6"/>
        <v>45447.720584862938</v>
      </c>
      <c r="I39" s="11">
        <f t="shared" si="2"/>
        <v>736.47254229238285</v>
      </c>
      <c r="J39" s="11">
        <f t="shared" si="7"/>
        <v>11285.557285371797</v>
      </c>
      <c r="K39" s="12">
        <f t="shared" si="3"/>
        <v>130380.53209947303</v>
      </c>
      <c r="L39" s="13">
        <f t="shared" si="8"/>
        <v>1635245.8683552768</v>
      </c>
      <c r="M39" s="13">
        <f t="shared" si="4"/>
        <v>-160451.44515970489</v>
      </c>
    </row>
    <row r="40" spans="1:18">
      <c r="C40" s="2" t="s">
        <v>31</v>
      </c>
      <c r="D40" s="11">
        <f>SUM(D20:D39)</f>
        <v>1128555.7285371798</v>
      </c>
      <c r="E40" s="11">
        <f>+D40/20</f>
        <v>56427.786426858991</v>
      </c>
      <c r="F40" s="11"/>
      <c r="G40" s="11">
        <f>SUM(G20:G39)</f>
        <v>33856.67185611539</v>
      </c>
      <c r="H40" s="11">
        <f>+G40/20</f>
        <v>1692.8335928057695</v>
      </c>
      <c r="I40" s="11">
        <f>SUM(I20:I39)</f>
        <v>11285.557285371797</v>
      </c>
      <c r="J40" s="11"/>
      <c r="K40" s="11">
        <f>+I40/20</f>
        <v>564.27786426858984</v>
      </c>
    </row>
    <row r="41" spans="1:18">
      <c r="G41" s="2" t="s">
        <v>32</v>
      </c>
      <c r="I41" s="11">
        <f>+D40+G40+I40</f>
        <v>1173697.9576786668</v>
      </c>
      <c r="J41" s="11"/>
    </row>
    <row r="44" spans="1:18">
      <c r="A44" s="2" t="s">
        <v>8</v>
      </c>
      <c r="K44" s="1" t="s">
        <v>33</v>
      </c>
      <c r="P44" s="1" t="s">
        <v>34</v>
      </c>
    </row>
    <row r="45" spans="1:18">
      <c r="A45" s="2" t="s">
        <v>25</v>
      </c>
      <c r="B45" s="2" t="s">
        <v>26</v>
      </c>
      <c r="C45" s="2" t="s">
        <v>35</v>
      </c>
      <c r="D45" s="2" t="s">
        <v>36</v>
      </c>
      <c r="E45" s="2" t="s">
        <v>37</v>
      </c>
      <c r="G45" s="2" t="s">
        <v>32</v>
      </c>
      <c r="H45" s="1" t="s">
        <v>38</v>
      </c>
      <c r="K45" s="1" t="s">
        <v>39</v>
      </c>
      <c r="L45" s="1" t="s">
        <v>40</v>
      </c>
      <c r="M45" s="1" t="s">
        <v>41</v>
      </c>
      <c r="N45" s="1" t="s">
        <v>42</v>
      </c>
      <c r="O45" s="1" t="s">
        <v>38</v>
      </c>
      <c r="P45" s="1" t="s">
        <v>27</v>
      </c>
      <c r="Q45" s="1">
        <v>1.03</v>
      </c>
      <c r="R45" s="1" t="s">
        <v>38</v>
      </c>
    </row>
    <row r="46" spans="1:18">
      <c r="A46" s="2">
        <v>1</v>
      </c>
      <c r="B46" s="11">
        <f>+G12</f>
        <v>700000</v>
      </c>
      <c r="C46" s="10">
        <v>1.04</v>
      </c>
      <c r="D46" s="11">
        <f t="shared" ref="D46:D60" si="9">+B46*$C$46</f>
        <v>728000</v>
      </c>
      <c r="E46" s="11">
        <f t="shared" ref="E46:E60" si="10">+D46-B46</f>
        <v>28000</v>
      </c>
      <c r="G46" s="12">
        <v>0</v>
      </c>
      <c r="H46" s="8">
        <f t="shared" ref="H46:H65" si="11">+D46-G46</f>
        <v>728000</v>
      </c>
      <c r="K46" s="1">
        <v>0.06</v>
      </c>
      <c r="L46" s="13">
        <f t="shared" ref="L46:L65" si="12">B46*$K$46</f>
        <v>42000</v>
      </c>
      <c r="N46" s="8">
        <f>L46</f>
        <v>42000</v>
      </c>
      <c r="O46" s="8">
        <f t="shared" ref="O46:O65" si="13">B46-N46</f>
        <v>658000</v>
      </c>
      <c r="P46" s="1">
        <v>700000</v>
      </c>
      <c r="Q46" s="8">
        <f>P46*$Q$45</f>
        <v>721000</v>
      </c>
      <c r="R46" s="8">
        <f t="shared" ref="R46:R65" si="14">D46-Q46</f>
        <v>7000</v>
      </c>
    </row>
    <row r="47" spans="1:18">
      <c r="A47" s="2">
        <v>2</v>
      </c>
      <c r="B47" s="11">
        <f>+D46</f>
        <v>728000</v>
      </c>
      <c r="D47" s="11">
        <f t="shared" si="9"/>
        <v>757120</v>
      </c>
      <c r="E47" s="11">
        <f t="shared" si="10"/>
        <v>29120</v>
      </c>
      <c r="G47" s="12">
        <v>0</v>
      </c>
      <c r="H47" s="12">
        <f t="shared" si="11"/>
        <v>757120</v>
      </c>
      <c r="L47" s="13">
        <f t="shared" si="12"/>
        <v>43680</v>
      </c>
      <c r="M47" s="8">
        <f t="shared" ref="M47:M65" si="15">((L47/L46)-1)*100</f>
        <v>4.0000000000000036</v>
      </c>
      <c r="N47" s="13">
        <f t="shared" ref="N47:N65" si="16">N46+L47</f>
        <v>85680</v>
      </c>
      <c r="O47" s="13">
        <f t="shared" si="13"/>
        <v>642320</v>
      </c>
      <c r="Q47" s="13">
        <f t="shared" ref="Q47:Q65" si="17">Q46*$Q$45</f>
        <v>742630</v>
      </c>
      <c r="R47" s="13">
        <f t="shared" si="14"/>
        <v>14490</v>
      </c>
    </row>
    <row r="48" spans="1:18">
      <c r="A48" s="2">
        <v>3</v>
      </c>
      <c r="B48" s="11">
        <f t="shared" ref="B48:B65" si="18">+B47*$C$46</f>
        <v>757120</v>
      </c>
      <c r="C48" s="11"/>
      <c r="D48" s="11">
        <f t="shared" si="9"/>
        <v>787404.80000000005</v>
      </c>
      <c r="E48" s="11">
        <f t="shared" si="10"/>
        <v>30284.800000000047</v>
      </c>
      <c r="G48" s="12">
        <v>0</v>
      </c>
      <c r="H48" s="12">
        <f t="shared" si="11"/>
        <v>787404.80000000005</v>
      </c>
      <c r="L48" s="13">
        <f t="shared" si="12"/>
        <v>45427.199999999997</v>
      </c>
      <c r="M48" s="8">
        <f t="shared" si="15"/>
        <v>4.0000000000000036</v>
      </c>
      <c r="N48" s="13">
        <f t="shared" si="16"/>
        <v>131107.20000000001</v>
      </c>
      <c r="O48" s="13">
        <f t="shared" si="13"/>
        <v>626012.80000000005</v>
      </c>
      <c r="Q48" s="13">
        <f t="shared" si="17"/>
        <v>764908.9</v>
      </c>
      <c r="R48" s="13">
        <f t="shared" si="14"/>
        <v>22495.900000000023</v>
      </c>
    </row>
    <row r="49" spans="1:18">
      <c r="A49" s="2">
        <v>4</v>
      </c>
      <c r="B49" s="11">
        <f t="shared" si="18"/>
        <v>787404.80000000005</v>
      </c>
      <c r="C49" s="11"/>
      <c r="D49" s="11">
        <f t="shared" si="9"/>
        <v>818900.99200000009</v>
      </c>
      <c r="E49" s="11">
        <f t="shared" si="10"/>
        <v>31496.192000000039</v>
      </c>
      <c r="G49" s="12">
        <v>0</v>
      </c>
      <c r="H49" s="12">
        <f t="shared" si="11"/>
        <v>818900.99200000009</v>
      </c>
      <c r="L49" s="13">
        <f t="shared" si="12"/>
        <v>47244.288</v>
      </c>
      <c r="M49" s="8">
        <f t="shared" si="15"/>
        <v>4.0000000000000036</v>
      </c>
      <c r="N49" s="13">
        <f t="shared" si="16"/>
        <v>178351.48800000001</v>
      </c>
      <c r="O49" s="13">
        <f t="shared" si="13"/>
        <v>609053.31200000003</v>
      </c>
      <c r="Q49" s="13">
        <f t="shared" si="17"/>
        <v>787856.16700000002</v>
      </c>
      <c r="R49" s="13">
        <f t="shared" si="14"/>
        <v>31044.82500000007</v>
      </c>
    </row>
    <row r="50" spans="1:18">
      <c r="A50" s="2">
        <v>5</v>
      </c>
      <c r="B50" s="11">
        <f t="shared" si="18"/>
        <v>818900.99200000009</v>
      </c>
      <c r="C50" s="11"/>
      <c r="D50" s="11">
        <f t="shared" si="9"/>
        <v>851657.03168000013</v>
      </c>
      <c r="E50" s="11">
        <f t="shared" si="10"/>
        <v>32756.039680000045</v>
      </c>
      <c r="G50" s="12">
        <v>0</v>
      </c>
      <c r="H50" s="12">
        <f t="shared" si="11"/>
        <v>851657.03168000013</v>
      </c>
      <c r="L50" s="13">
        <f t="shared" si="12"/>
        <v>49134.059520000003</v>
      </c>
      <c r="M50" s="8">
        <f t="shared" si="15"/>
        <v>4.0000000000000036</v>
      </c>
      <c r="N50" s="13">
        <f t="shared" si="16"/>
        <v>227485.54752000002</v>
      </c>
      <c r="O50" s="13">
        <f t="shared" si="13"/>
        <v>591415.44448000006</v>
      </c>
      <c r="Q50" s="13">
        <f t="shared" si="17"/>
        <v>811491.85201000003</v>
      </c>
      <c r="R50" s="13">
        <f t="shared" si="14"/>
        <v>40165.1796700001</v>
      </c>
    </row>
    <row r="51" spans="1:18">
      <c r="A51" s="2">
        <v>6</v>
      </c>
      <c r="B51" s="11">
        <f t="shared" si="18"/>
        <v>851657.03168000013</v>
      </c>
      <c r="C51" s="11"/>
      <c r="D51" s="11">
        <f t="shared" si="9"/>
        <v>885723.31294720015</v>
      </c>
      <c r="E51" s="11">
        <f t="shared" si="10"/>
        <v>34066.281267200015</v>
      </c>
      <c r="G51" s="12">
        <v>0</v>
      </c>
      <c r="H51" s="12">
        <f t="shared" si="11"/>
        <v>885723.31294720015</v>
      </c>
      <c r="L51" s="13">
        <f t="shared" si="12"/>
        <v>51099.421900800007</v>
      </c>
      <c r="M51" s="8">
        <f t="shared" si="15"/>
        <v>4.0000000000000036</v>
      </c>
      <c r="N51" s="13">
        <f t="shared" si="16"/>
        <v>278584.96942080004</v>
      </c>
      <c r="O51" s="13">
        <f t="shared" si="13"/>
        <v>573072.06225920003</v>
      </c>
      <c r="Q51" s="13">
        <f t="shared" si="17"/>
        <v>835836.60757030011</v>
      </c>
      <c r="R51" s="13">
        <f t="shared" si="14"/>
        <v>49886.705376900034</v>
      </c>
    </row>
    <row r="52" spans="1:18">
      <c r="A52" s="2">
        <v>7</v>
      </c>
      <c r="B52" s="11">
        <f t="shared" si="18"/>
        <v>885723.31294720015</v>
      </c>
      <c r="C52" s="11"/>
      <c r="D52" s="11">
        <f t="shared" si="9"/>
        <v>921152.24546508817</v>
      </c>
      <c r="E52" s="11">
        <f t="shared" si="10"/>
        <v>35428.932517888024</v>
      </c>
      <c r="G52" s="12">
        <v>0</v>
      </c>
      <c r="H52" s="12">
        <f t="shared" si="11"/>
        <v>921152.24546508817</v>
      </c>
      <c r="L52" s="13">
        <f t="shared" si="12"/>
        <v>53143.398776832008</v>
      </c>
      <c r="M52" s="8">
        <f t="shared" si="15"/>
        <v>4.0000000000000036</v>
      </c>
      <c r="N52" s="13">
        <f t="shared" si="16"/>
        <v>331728.36819763202</v>
      </c>
      <c r="O52" s="13">
        <f t="shared" si="13"/>
        <v>553994.94474956812</v>
      </c>
      <c r="Q52" s="13">
        <f t="shared" si="17"/>
        <v>860911.70579740917</v>
      </c>
      <c r="R52" s="13">
        <f t="shared" si="14"/>
        <v>60240.539667678997</v>
      </c>
    </row>
    <row r="53" spans="1:18">
      <c r="A53" s="2">
        <v>8</v>
      </c>
      <c r="B53" s="11">
        <f t="shared" si="18"/>
        <v>921152.24546508817</v>
      </c>
      <c r="C53" s="11"/>
      <c r="D53" s="11">
        <f t="shared" si="9"/>
        <v>957998.33528369176</v>
      </c>
      <c r="E53" s="11">
        <f t="shared" si="10"/>
        <v>36846.089818603592</v>
      </c>
      <c r="G53" s="12">
        <v>0</v>
      </c>
      <c r="H53" s="12">
        <f t="shared" si="11"/>
        <v>957998.33528369176</v>
      </c>
      <c r="L53" s="13">
        <f t="shared" si="12"/>
        <v>55269.134727905286</v>
      </c>
      <c r="M53" s="8">
        <f t="shared" si="15"/>
        <v>4.0000000000000036</v>
      </c>
      <c r="N53" s="13">
        <f t="shared" si="16"/>
        <v>386997.50292553729</v>
      </c>
      <c r="O53" s="13">
        <f t="shared" si="13"/>
        <v>534154.74253955088</v>
      </c>
      <c r="Q53" s="13">
        <f t="shared" si="17"/>
        <v>886739.05697133148</v>
      </c>
      <c r="R53" s="13">
        <f t="shared" si="14"/>
        <v>71259.278312360286</v>
      </c>
    </row>
    <row r="54" spans="1:18">
      <c r="A54" s="2">
        <v>9</v>
      </c>
      <c r="B54" s="11">
        <f t="shared" si="18"/>
        <v>957998.33528369176</v>
      </c>
      <c r="C54" s="11"/>
      <c r="D54" s="11">
        <f t="shared" si="9"/>
        <v>996318.26869503944</v>
      </c>
      <c r="E54" s="11">
        <f t="shared" si="10"/>
        <v>38319.93341134768</v>
      </c>
      <c r="G54" s="12">
        <v>0</v>
      </c>
      <c r="H54" s="12">
        <f t="shared" si="11"/>
        <v>996318.26869503944</v>
      </c>
      <c r="L54" s="13">
        <f t="shared" si="12"/>
        <v>57479.900117021505</v>
      </c>
      <c r="M54" s="8">
        <f t="shared" si="15"/>
        <v>4.0000000000000036</v>
      </c>
      <c r="N54" s="13">
        <f t="shared" si="16"/>
        <v>444477.40304255881</v>
      </c>
      <c r="O54" s="13">
        <f t="shared" si="13"/>
        <v>513520.93224113295</v>
      </c>
      <c r="Q54" s="13">
        <f t="shared" si="17"/>
        <v>913341.22868047142</v>
      </c>
      <c r="R54" s="13">
        <f t="shared" si="14"/>
        <v>82977.040014568018</v>
      </c>
    </row>
    <row r="55" spans="1:18">
      <c r="A55" s="2">
        <v>10</v>
      </c>
      <c r="B55" s="11">
        <f t="shared" si="18"/>
        <v>996318.26869503944</v>
      </c>
      <c r="C55" s="11"/>
      <c r="D55" s="11">
        <f t="shared" si="9"/>
        <v>1036170.999442841</v>
      </c>
      <c r="E55" s="11">
        <f t="shared" si="10"/>
        <v>39852.730747801601</v>
      </c>
      <c r="G55" s="12">
        <v>0</v>
      </c>
      <c r="H55" s="12">
        <f t="shared" si="11"/>
        <v>1036170.999442841</v>
      </c>
      <c r="L55" s="13">
        <f t="shared" si="12"/>
        <v>59779.096121702365</v>
      </c>
      <c r="M55" s="8">
        <f t="shared" si="15"/>
        <v>4.0000000000000036</v>
      </c>
      <c r="N55" s="13">
        <f t="shared" si="16"/>
        <v>504256.49916426116</v>
      </c>
      <c r="O55" s="13">
        <f t="shared" si="13"/>
        <v>492061.76953077829</v>
      </c>
      <c r="Q55" s="13">
        <f t="shared" si="17"/>
        <v>940741.46554088558</v>
      </c>
      <c r="R55" s="13">
        <f t="shared" si="14"/>
        <v>95429.533901955467</v>
      </c>
    </row>
    <row r="56" spans="1:18">
      <c r="A56" s="2">
        <v>11</v>
      </c>
      <c r="B56" s="11">
        <f t="shared" si="18"/>
        <v>1036170.999442841</v>
      </c>
      <c r="C56" s="11"/>
      <c r="D56" s="11">
        <f t="shared" si="9"/>
        <v>1077617.8394205547</v>
      </c>
      <c r="E56" s="11">
        <f t="shared" si="10"/>
        <v>41446.839977713651</v>
      </c>
      <c r="G56" s="12">
        <v>0</v>
      </c>
      <c r="H56" s="12">
        <f t="shared" si="11"/>
        <v>1077617.8394205547</v>
      </c>
      <c r="L56" s="13">
        <f t="shared" si="12"/>
        <v>62170.259966570462</v>
      </c>
      <c r="M56" s="8">
        <f t="shared" si="15"/>
        <v>4.0000000000000036</v>
      </c>
      <c r="N56" s="13">
        <f t="shared" si="16"/>
        <v>566426.75913083158</v>
      </c>
      <c r="O56" s="13">
        <f t="shared" si="13"/>
        <v>469744.24031200947</v>
      </c>
      <c r="Q56" s="13">
        <f t="shared" si="17"/>
        <v>968963.70950711216</v>
      </c>
      <c r="R56" s="13">
        <f t="shared" si="14"/>
        <v>108654.12991344254</v>
      </c>
    </row>
    <row r="57" spans="1:18">
      <c r="A57" s="2">
        <v>12</v>
      </c>
      <c r="B57" s="11">
        <f t="shared" si="18"/>
        <v>1077617.8394205547</v>
      </c>
      <c r="C57" s="11"/>
      <c r="D57" s="11">
        <f t="shared" si="9"/>
        <v>1120722.552997377</v>
      </c>
      <c r="E57" s="11">
        <f t="shared" si="10"/>
        <v>43104.713576822309</v>
      </c>
      <c r="G57" s="12">
        <v>0</v>
      </c>
      <c r="H57" s="12">
        <f t="shared" si="11"/>
        <v>1120722.552997377</v>
      </c>
      <c r="L57" s="13">
        <f t="shared" si="12"/>
        <v>64657.070365233281</v>
      </c>
      <c r="M57" s="8">
        <f t="shared" si="15"/>
        <v>4.0000000000000036</v>
      </c>
      <c r="N57" s="13">
        <f t="shared" si="16"/>
        <v>631083.82949606481</v>
      </c>
      <c r="O57" s="13">
        <f t="shared" si="13"/>
        <v>446534.00992448989</v>
      </c>
      <c r="Q57" s="13">
        <f t="shared" si="17"/>
        <v>998032.62079232559</v>
      </c>
      <c r="R57" s="13">
        <f t="shared" si="14"/>
        <v>122689.93220505142</v>
      </c>
    </row>
    <row r="58" spans="1:18">
      <c r="A58" s="2">
        <v>13</v>
      </c>
      <c r="B58" s="11">
        <f t="shared" si="18"/>
        <v>1120722.552997377</v>
      </c>
      <c r="C58" s="11"/>
      <c r="D58" s="11">
        <f t="shared" si="9"/>
        <v>1165551.4551172722</v>
      </c>
      <c r="E58" s="11">
        <f t="shared" si="10"/>
        <v>44828.90211989521</v>
      </c>
      <c r="G58" s="12">
        <v>0</v>
      </c>
      <c r="H58" s="12">
        <f t="shared" si="11"/>
        <v>1165551.4551172722</v>
      </c>
      <c r="L58" s="13">
        <f t="shared" si="12"/>
        <v>67243.353179842612</v>
      </c>
      <c r="M58" s="8">
        <f t="shared" si="15"/>
        <v>4.0000000000000036</v>
      </c>
      <c r="N58" s="13">
        <f t="shared" si="16"/>
        <v>698327.18267590739</v>
      </c>
      <c r="O58" s="13">
        <f t="shared" si="13"/>
        <v>422395.37032146961</v>
      </c>
      <c r="Q58" s="13">
        <f t="shared" si="17"/>
        <v>1027973.5994160954</v>
      </c>
      <c r="R58" s="13">
        <f t="shared" si="14"/>
        <v>137577.8557011768</v>
      </c>
    </row>
    <row r="59" spans="1:18">
      <c r="A59" s="2">
        <v>14</v>
      </c>
      <c r="B59" s="11">
        <f t="shared" si="18"/>
        <v>1165551.4551172722</v>
      </c>
      <c r="C59" s="11"/>
      <c r="D59" s="11">
        <f t="shared" si="9"/>
        <v>1212173.5133219631</v>
      </c>
      <c r="E59" s="11">
        <f t="shared" si="10"/>
        <v>46622.058204690926</v>
      </c>
      <c r="G59" s="12">
        <v>0</v>
      </c>
      <c r="H59" s="12">
        <f t="shared" si="11"/>
        <v>1212173.5133219631</v>
      </c>
      <c r="L59" s="13">
        <f t="shared" si="12"/>
        <v>69933.08730703633</v>
      </c>
      <c r="M59" s="8">
        <f t="shared" si="15"/>
        <v>4.0000000000000258</v>
      </c>
      <c r="N59" s="13">
        <f t="shared" si="16"/>
        <v>768260.26998294378</v>
      </c>
      <c r="O59" s="13">
        <f t="shared" si="13"/>
        <v>397291.18513432844</v>
      </c>
      <c r="Q59" s="13">
        <f t="shared" si="17"/>
        <v>1058812.8073985784</v>
      </c>
      <c r="R59" s="13">
        <f t="shared" si="14"/>
        <v>153360.70592338475</v>
      </c>
    </row>
    <row r="60" spans="1:18">
      <c r="A60" s="2">
        <v>15</v>
      </c>
      <c r="B60" s="11">
        <f t="shared" si="18"/>
        <v>1212173.5133219631</v>
      </c>
      <c r="C60" s="11"/>
      <c r="D60" s="11">
        <f t="shared" si="9"/>
        <v>1260660.4538548416</v>
      </c>
      <c r="E60" s="11">
        <f t="shared" si="10"/>
        <v>48486.940532878507</v>
      </c>
      <c r="F60" s="11"/>
      <c r="G60" s="12">
        <v>0</v>
      </c>
      <c r="H60" s="12">
        <f t="shared" si="11"/>
        <v>1260660.4538548416</v>
      </c>
      <c r="L60" s="13">
        <f t="shared" si="12"/>
        <v>72730.410799317789</v>
      </c>
      <c r="M60" s="8">
        <f t="shared" si="15"/>
        <v>4.0000000000000036</v>
      </c>
      <c r="N60" s="13">
        <f t="shared" si="16"/>
        <v>840990.68078226154</v>
      </c>
      <c r="O60" s="13">
        <f t="shared" si="13"/>
        <v>371182.8325397016</v>
      </c>
      <c r="Q60" s="13">
        <f t="shared" si="17"/>
        <v>1090577.1916205357</v>
      </c>
      <c r="R60" s="13">
        <f t="shared" si="14"/>
        <v>170083.26223430596</v>
      </c>
    </row>
    <row r="61" spans="1:18">
      <c r="A61" s="2">
        <v>16</v>
      </c>
      <c r="B61" s="11">
        <f t="shared" si="18"/>
        <v>1260660.4538548416</v>
      </c>
      <c r="C61" s="11"/>
      <c r="D61" s="11">
        <f t="shared" ref="D61:E65" si="19">+D60*$C$46</f>
        <v>1311086.8720090354</v>
      </c>
      <c r="E61" s="11">
        <f t="shared" si="19"/>
        <v>50426.418154193649</v>
      </c>
      <c r="G61" s="12">
        <v>0</v>
      </c>
      <c r="H61" s="12">
        <f t="shared" si="11"/>
        <v>1311086.8720090354</v>
      </c>
      <c r="L61" s="13">
        <f t="shared" si="12"/>
        <v>75639.627231290491</v>
      </c>
      <c r="M61" s="8">
        <f t="shared" si="15"/>
        <v>3.9999999999999813</v>
      </c>
      <c r="N61" s="13">
        <f t="shared" si="16"/>
        <v>916630.30801355198</v>
      </c>
      <c r="O61" s="13">
        <f t="shared" si="13"/>
        <v>344030.14584128966</v>
      </c>
      <c r="Q61" s="13">
        <f t="shared" si="17"/>
        <v>1123294.5073691518</v>
      </c>
      <c r="R61" s="13">
        <f t="shared" si="14"/>
        <v>187792.36463988363</v>
      </c>
    </row>
    <row r="62" spans="1:18">
      <c r="A62" s="2">
        <v>17</v>
      </c>
      <c r="B62" s="11">
        <f t="shared" si="18"/>
        <v>1311086.8720090354</v>
      </c>
      <c r="C62" s="11"/>
      <c r="D62" s="11">
        <f t="shared" si="19"/>
        <v>1363530.3468893969</v>
      </c>
      <c r="E62" s="11">
        <f t="shared" si="19"/>
        <v>52443.474880361398</v>
      </c>
      <c r="G62" s="12">
        <v>0</v>
      </c>
      <c r="H62" s="12">
        <f t="shared" si="11"/>
        <v>1363530.3468893969</v>
      </c>
      <c r="L62" s="13">
        <f t="shared" si="12"/>
        <v>78665.212320542123</v>
      </c>
      <c r="M62" s="8">
        <f t="shared" si="15"/>
        <v>4.0000000000000258</v>
      </c>
      <c r="N62" s="13">
        <f t="shared" si="16"/>
        <v>995295.52033409406</v>
      </c>
      <c r="O62" s="13">
        <f t="shared" si="13"/>
        <v>315791.35167494137</v>
      </c>
      <c r="Q62" s="13">
        <f t="shared" si="17"/>
        <v>1156993.3425902263</v>
      </c>
      <c r="R62" s="13">
        <f t="shared" si="14"/>
        <v>206537.00429917057</v>
      </c>
    </row>
    <row r="63" spans="1:18">
      <c r="A63" s="2">
        <v>18</v>
      </c>
      <c r="B63" s="11">
        <f t="shared" si="18"/>
        <v>1363530.3468893969</v>
      </c>
      <c r="C63" s="11"/>
      <c r="D63" s="11">
        <f t="shared" si="19"/>
        <v>1418071.5607649728</v>
      </c>
      <c r="E63" s="11">
        <f t="shared" si="19"/>
        <v>54541.213875575857</v>
      </c>
      <c r="G63" s="12">
        <v>0</v>
      </c>
      <c r="H63" s="12">
        <f t="shared" si="11"/>
        <v>1418071.5607649728</v>
      </c>
      <c r="L63" s="13">
        <f t="shared" si="12"/>
        <v>81811.820813363811</v>
      </c>
      <c r="M63" s="8">
        <f t="shared" si="15"/>
        <v>4.0000000000000036</v>
      </c>
      <c r="N63" s="13">
        <f t="shared" si="16"/>
        <v>1077107.3411474579</v>
      </c>
      <c r="O63" s="13">
        <f t="shared" si="13"/>
        <v>286423.00574193895</v>
      </c>
      <c r="Q63" s="13">
        <f t="shared" si="17"/>
        <v>1191703.1428679333</v>
      </c>
      <c r="R63" s="13">
        <f t="shared" si="14"/>
        <v>226368.41789703956</v>
      </c>
    </row>
    <row r="64" spans="1:18">
      <c r="A64" s="2">
        <v>19</v>
      </c>
      <c r="B64" s="11">
        <f t="shared" si="18"/>
        <v>1418071.5607649728</v>
      </c>
      <c r="C64" s="11"/>
      <c r="D64" s="11">
        <f t="shared" si="19"/>
        <v>1474794.4231955719</v>
      </c>
      <c r="E64" s="11">
        <f t="shared" si="19"/>
        <v>56722.862430598892</v>
      </c>
      <c r="G64" s="12">
        <v>0</v>
      </c>
      <c r="H64" s="12">
        <f t="shared" si="11"/>
        <v>1474794.4231955719</v>
      </c>
      <c r="L64" s="13">
        <f t="shared" si="12"/>
        <v>85084.29364589836</v>
      </c>
      <c r="M64" s="8">
        <f t="shared" si="15"/>
        <v>4.0000000000000036</v>
      </c>
      <c r="N64" s="13">
        <f t="shared" si="16"/>
        <v>1162191.6347933563</v>
      </c>
      <c r="O64" s="13">
        <f t="shared" si="13"/>
        <v>255879.92597161653</v>
      </c>
      <c r="Q64" s="13">
        <f t="shared" si="17"/>
        <v>1227454.2371539713</v>
      </c>
      <c r="R64" s="13">
        <f t="shared" si="14"/>
        <v>247340.18604160054</v>
      </c>
    </row>
    <row r="65" spans="1:23">
      <c r="A65" s="2">
        <v>20</v>
      </c>
      <c r="B65" s="11">
        <f t="shared" si="18"/>
        <v>1474794.4231955719</v>
      </c>
      <c r="C65" s="11"/>
      <c r="D65" s="11">
        <f t="shared" si="19"/>
        <v>1533786.2001233948</v>
      </c>
      <c r="E65" s="11">
        <f t="shared" si="19"/>
        <v>58991.776927822852</v>
      </c>
      <c r="G65" s="12">
        <v>0</v>
      </c>
      <c r="H65" s="12">
        <f t="shared" si="11"/>
        <v>1533786.2001233948</v>
      </c>
      <c r="L65" s="13">
        <f t="shared" si="12"/>
        <v>88487.665391734306</v>
      </c>
      <c r="M65" s="8">
        <f t="shared" si="15"/>
        <v>4.0000000000000036</v>
      </c>
      <c r="N65" s="13">
        <f t="shared" si="16"/>
        <v>1250679.3001850906</v>
      </c>
      <c r="O65" s="13">
        <f t="shared" si="13"/>
        <v>224115.12301048124</v>
      </c>
      <c r="Q65" s="13">
        <f t="shared" si="17"/>
        <v>1264277.8642685905</v>
      </c>
      <c r="R65" s="13">
        <f t="shared" si="14"/>
        <v>269508.33585480438</v>
      </c>
    </row>
    <row r="66" spans="1:23">
      <c r="B66" s="11"/>
      <c r="D66" s="11"/>
      <c r="E66" s="11"/>
    </row>
    <row r="67" spans="1:23">
      <c r="A67" s="2" t="s">
        <v>43</v>
      </c>
      <c r="B67" s="11"/>
      <c r="D67" s="11">
        <f>+D65-B46</f>
        <v>833786.20012339484</v>
      </c>
      <c r="E67" s="11">
        <f>SUM(E46:E65)</f>
        <v>833786.20012339426</v>
      </c>
    </row>
    <row r="70" spans="1:23">
      <c r="A70" s="1" t="s">
        <v>44</v>
      </c>
    </row>
    <row r="72" spans="1:23">
      <c r="A72" s="1" t="s">
        <v>45</v>
      </c>
      <c r="E72" s="13">
        <v>10000</v>
      </c>
    </row>
    <row r="73" spans="1:23">
      <c r="A73" s="1" t="s">
        <v>8</v>
      </c>
      <c r="E73" s="13">
        <v>700000</v>
      </c>
    </row>
    <row r="74" spans="1:23">
      <c r="A74" s="1" t="s">
        <v>46</v>
      </c>
      <c r="E74" s="13">
        <f>E72*E73</f>
        <v>7000000000</v>
      </c>
    </row>
    <row r="75" spans="1:23">
      <c r="A75" s="1" t="s">
        <v>47</v>
      </c>
      <c r="E75" s="14">
        <v>7.0000000000000007E-2</v>
      </c>
    </row>
    <row r="76" spans="1:23">
      <c r="A76" s="1" t="s">
        <v>48</v>
      </c>
      <c r="E76" s="13">
        <f>E74*E75</f>
        <v>490000000.00000006</v>
      </c>
    </row>
    <row r="77" spans="1:23">
      <c r="A77" s="1" t="s">
        <v>49</v>
      </c>
      <c r="E77" s="13">
        <f>E74-E76</f>
        <v>6510000000</v>
      </c>
    </row>
    <row r="78" spans="1:23">
      <c r="A78" s="1" t="s">
        <v>50</v>
      </c>
      <c r="E78" s="13">
        <v>10000</v>
      </c>
      <c r="W78" s="13"/>
    </row>
    <row r="79" spans="1:23">
      <c r="A79" s="1" t="s">
        <v>51</v>
      </c>
      <c r="E79" s="13">
        <f>E72*E78</f>
        <v>100000000</v>
      </c>
      <c r="W79" s="14"/>
    </row>
    <row r="80" spans="1:23">
      <c r="E80" s="13"/>
    </row>
    <row r="81" spans="1:30">
      <c r="A81" s="1" t="s">
        <v>52</v>
      </c>
      <c r="E81" s="13">
        <v>100</v>
      </c>
    </row>
    <row r="82" spans="1:30">
      <c r="A82" s="1" t="s">
        <v>53</v>
      </c>
      <c r="E82" s="13">
        <f>E72*E81</f>
        <v>1000000</v>
      </c>
    </row>
    <row r="83" spans="1:30">
      <c r="W83" s="15"/>
      <c r="X83" s="15"/>
      <c r="Y83" s="15"/>
      <c r="Z83" s="15"/>
      <c r="AA83" s="15"/>
      <c r="AB83" s="15"/>
      <c r="AC83" s="15"/>
      <c r="AD83" s="15"/>
    </row>
    <row r="84" spans="1:30">
      <c r="W84" s="15"/>
      <c r="X84" s="15"/>
      <c r="Y84" s="15"/>
      <c r="Z84" s="15"/>
      <c r="AA84" s="15"/>
      <c r="AB84" s="15"/>
      <c r="AC84" s="15"/>
      <c r="AD84" s="15"/>
    </row>
  </sheetData>
  <sheetProtection selectLockedCells="1" selectUnlockedCells="1"/>
  <pageMargins left="1" right="1" top="1.25" bottom="1.25" header="0.51180555555555551" footer="0.51180555555555551"/>
  <pageSetup paperSize="9" firstPageNumber="0" orientation="landscape" horizontalDpi="300" verticalDpi="300"/>
  <headerFooter alignWithMargins="0"/>
  <rowBreaks count="2" manualBreakCount="2">
    <brk id="43" max="16383"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workbookViewId="0"/>
  </sheetViews>
  <sheetFormatPr defaultColWidth="11.5546875" defaultRowHeight="13.2"/>
  <cols>
    <col min="1" max="1" width="15.88671875" style="1" customWidth="1"/>
    <col min="2" max="16384" width="11.5546875" style="1"/>
  </cols>
  <sheetData>
    <row r="1" spans="1:27">
      <c r="A1" s="16"/>
      <c r="B1" s="16"/>
      <c r="C1" s="3"/>
      <c r="D1" s="16"/>
      <c r="E1" s="16"/>
      <c r="F1" s="16"/>
      <c r="G1" s="16"/>
      <c r="H1" s="3"/>
      <c r="I1" s="3"/>
      <c r="J1" s="16"/>
      <c r="K1" s="16"/>
      <c r="L1" s="16"/>
      <c r="M1" s="16"/>
      <c r="N1" s="16"/>
      <c r="O1" s="16"/>
      <c r="P1" s="16"/>
      <c r="Q1" s="16"/>
      <c r="R1" s="16"/>
      <c r="S1" s="16"/>
      <c r="T1" s="16"/>
      <c r="U1" s="16"/>
      <c r="V1" s="16"/>
      <c r="W1" s="16"/>
    </row>
    <row r="2" spans="1:27">
      <c r="A2" s="16"/>
      <c r="B2" s="16"/>
      <c r="C2" s="3"/>
      <c r="D2" s="16"/>
      <c r="E2" s="16"/>
      <c r="F2" s="16"/>
      <c r="G2" s="16"/>
      <c r="H2" s="3"/>
      <c r="I2" s="3"/>
      <c r="J2" s="16"/>
      <c r="K2" s="16"/>
      <c r="L2" s="16"/>
      <c r="M2" s="16"/>
      <c r="N2" s="16"/>
      <c r="O2" s="16"/>
      <c r="P2" s="16"/>
      <c r="Q2" s="16"/>
      <c r="R2" s="16"/>
      <c r="S2" s="16"/>
      <c r="T2" s="16"/>
      <c r="U2" s="16"/>
      <c r="V2" s="16"/>
      <c r="W2" s="16"/>
    </row>
    <row r="3" spans="1:27">
      <c r="A3" s="16"/>
      <c r="B3" s="16"/>
      <c r="C3" s="3"/>
      <c r="D3" s="16"/>
      <c r="E3" s="16"/>
      <c r="F3" s="16"/>
      <c r="G3" s="16"/>
      <c r="H3" s="3"/>
      <c r="I3" s="3"/>
      <c r="J3" s="16"/>
      <c r="K3" s="16"/>
      <c r="L3" s="16"/>
      <c r="M3" s="16"/>
      <c r="N3" s="16"/>
      <c r="O3" s="16"/>
      <c r="P3" s="16"/>
      <c r="Q3" s="16"/>
      <c r="R3" s="16"/>
      <c r="S3" s="16"/>
      <c r="T3" s="16"/>
      <c r="U3" s="16"/>
      <c r="V3" s="16"/>
      <c r="W3" s="16"/>
    </row>
    <row r="4" spans="1:27">
      <c r="A4" s="16"/>
      <c r="B4" s="16"/>
      <c r="C4" s="3"/>
      <c r="D4" s="16"/>
      <c r="E4" s="16"/>
      <c r="F4" s="16"/>
      <c r="G4" s="16"/>
      <c r="H4" s="3"/>
      <c r="I4" s="3"/>
      <c r="J4" s="16"/>
      <c r="K4" s="16"/>
      <c r="L4" s="16"/>
      <c r="M4" s="16"/>
      <c r="N4" s="16"/>
      <c r="O4" s="16"/>
      <c r="P4" s="16"/>
      <c r="Q4" s="16"/>
      <c r="R4" s="16"/>
      <c r="S4" s="16"/>
      <c r="T4" s="16"/>
      <c r="U4" s="16"/>
      <c r="V4" s="16"/>
      <c r="W4" s="16"/>
    </row>
    <row r="5" spans="1:27">
      <c r="A5" s="16" t="s">
        <v>25</v>
      </c>
      <c r="B5" s="16"/>
      <c r="C5" s="3">
        <v>1</v>
      </c>
      <c r="D5" s="16">
        <v>2</v>
      </c>
      <c r="E5" s="16">
        <v>3</v>
      </c>
      <c r="F5" s="16">
        <v>4</v>
      </c>
      <c r="G5" s="16">
        <v>5</v>
      </c>
      <c r="H5" s="3">
        <v>6</v>
      </c>
      <c r="I5" s="3">
        <v>7</v>
      </c>
      <c r="J5" s="16">
        <v>8</v>
      </c>
      <c r="K5" s="16">
        <v>9</v>
      </c>
      <c r="L5" s="16">
        <v>10</v>
      </c>
      <c r="M5" s="16">
        <v>11</v>
      </c>
      <c r="N5" s="16">
        <v>12</v>
      </c>
      <c r="O5" s="16">
        <v>13</v>
      </c>
      <c r="P5" s="16">
        <v>14</v>
      </c>
      <c r="Q5" s="16">
        <v>15</v>
      </c>
      <c r="R5" s="16">
        <v>16</v>
      </c>
      <c r="S5" s="16">
        <v>17</v>
      </c>
      <c r="T5" s="16">
        <v>18</v>
      </c>
      <c r="U5" s="16">
        <v>19</v>
      </c>
      <c r="V5" s="16">
        <v>20</v>
      </c>
      <c r="W5" s="16">
        <v>21</v>
      </c>
    </row>
    <row r="6" spans="1:27">
      <c r="A6" s="17" t="s">
        <v>54</v>
      </c>
      <c r="B6" s="17"/>
      <c r="C6" s="2">
        <v>3654000</v>
      </c>
      <c r="D6" s="18">
        <f t="shared" ref="D6:AA6" si="0">+C10</f>
        <v>3573717</v>
      </c>
      <c r="E6" s="18">
        <f t="shared" si="0"/>
        <v>3498592.4246814051</v>
      </c>
      <c r="F6" s="18">
        <f t="shared" si="0"/>
        <v>3428640.8248585691</v>
      </c>
      <c r="G6" s="18">
        <f t="shared" si="0"/>
        <v>3363888.8517717044</v>
      </c>
      <c r="H6" s="18">
        <f t="shared" si="0"/>
        <v>3304375.7455565175</v>
      </c>
      <c r="I6" s="18">
        <f t="shared" si="0"/>
        <v>3250153.8692156752</v>
      </c>
      <c r="J6" s="18">
        <f t="shared" si="0"/>
        <v>3201289.2909002984</v>
      </c>
      <c r="K6" s="18">
        <f t="shared" si="0"/>
        <v>3157862.4175173854</v>
      </c>
      <c r="L6" s="18">
        <f t="shared" si="0"/>
        <v>3119968.6829008847</v>
      </c>
      <c r="M6" s="18">
        <f t="shared" si="0"/>
        <v>3087719.2940210477</v>
      </c>
      <c r="N6" s="18">
        <f t="shared" si="0"/>
        <v>3061242.0389598124</v>
      </c>
      <c r="O6" s="18">
        <f t="shared" si="0"/>
        <v>3040682.1606503706</v>
      </c>
      <c r="P6" s="18">
        <f t="shared" si="0"/>
        <v>3026203.3006680375</v>
      </c>
      <c r="Q6" s="18">
        <f t="shared" si="0"/>
        <v>3017988.517668331</v>
      </c>
      <c r="R6" s="18">
        <f t="shared" si="0"/>
        <v>3016241.3853981998</v>
      </c>
      <c r="S6" s="18">
        <f t="shared" si="0"/>
        <v>3021187.175559097</v>
      </c>
      <c r="T6" s="18">
        <f t="shared" si="0"/>
        <v>3033074.1311776717</v>
      </c>
      <c r="U6" s="18">
        <f t="shared" si="0"/>
        <v>3052174.8365429575</v>
      </c>
      <c r="V6" s="18">
        <f t="shared" si="0"/>
        <v>3078787.6901998939</v>
      </c>
      <c r="W6" s="18">
        <f t="shared" si="0"/>
        <v>3113238.4879497872</v>
      </c>
      <c r="X6" s="18">
        <f t="shared" si="0"/>
        <v>3155882.1233009608</v>
      </c>
      <c r="Y6" s="18">
        <f t="shared" si="0"/>
        <v>0</v>
      </c>
      <c r="Z6" s="18">
        <f t="shared" si="0"/>
        <v>0</v>
      </c>
      <c r="AA6" s="18">
        <f t="shared" si="0"/>
        <v>0</v>
      </c>
    </row>
    <row r="7" spans="1:27">
      <c r="A7" s="17" t="s">
        <v>55</v>
      </c>
      <c r="B7" s="17">
        <f>+'Popn. statistics'!F13</f>
        <v>1.0697721319609299</v>
      </c>
      <c r="C7" s="2">
        <v>37000</v>
      </c>
      <c r="D7" s="18">
        <f t="shared" ref="D7:W7" si="1">+C7*$B$7</f>
        <v>39581.568882554406</v>
      </c>
      <c r="E7" s="18">
        <f t="shared" si="1"/>
        <v>42343.259329848632</v>
      </c>
      <c r="F7" s="18">
        <f t="shared" si="1"/>
        <v>45297.638807466705</v>
      </c>
      <c r="G7" s="18">
        <f t="shared" si="1"/>
        <v>48458.151639859811</v>
      </c>
      <c r="H7" s="18">
        <f t="shared" si="1"/>
        <v>51839.180190658859</v>
      </c>
      <c r="I7" s="18">
        <f t="shared" si="1"/>
        <v>55456.11031166793</v>
      </c>
      <c r="J7" s="18">
        <f t="shared" si="1"/>
        <v>59325.401358373507</v>
      </c>
      <c r="K7" s="18">
        <f t="shared" si="1"/>
        <v>63464.661090585076</v>
      </c>
      <c r="L7" s="18">
        <f t="shared" si="1"/>
        <v>67892.725799053078</v>
      </c>
      <c r="M7" s="18">
        <f t="shared" si="1"/>
        <v>72629.746022691834</v>
      </c>
      <c r="N7" s="18">
        <f t="shared" si="1"/>
        <v>77697.278246475908</v>
      </c>
      <c r="O7" s="18">
        <f t="shared" si="1"/>
        <v>83118.382997294117</v>
      </c>
      <c r="P7" s="18">
        <f t="shared" si="1"/>
        <v>88917.72978416043</v>
      </c>
      <c r="Q7" s="18">
        <f t="shared" si="1"/>
        <v>95121.709360327179</v>
      </c>
      <c r="R7" s="18">
        <f t="shared" si="1"/>
        <v>101758.55381816515</v>
      </c>
      <c r="S7" s="18">
        <f t="shared" si="1"/>
        <v>108858.46506331956</v>
      </c>
      <c r="T7" s="18">
        <f t="shared" si="1"/>
        <v>116453.75225278176</v>
      </c>
      <c r="U7" s="18">
        <f t="shared" si="1"/>
        <v>124578.97882230829</v>
      </c>
      <c r="V7" s="18">
        <f t="shared" si="1"/>
        <v>133271.11977225626</v>
      </c>
      <c r="W7" s="18">
        <f t="shared" si="1"/>
        <v>142569.72992758703</v>
      </c>
      <c r="X7" s="18"/>
      <c r="Y7" s="18"/>
      <c r="Z7" s="18"/>
      <c r="AA7" s="18"/>
    </row>
    <row r="8" spans="1:27">
      <c r="A8" s="17" t="s">
        <v>56</v>
      </c>
      <c r="B8" s="17" t="s">
        <v>57</v>
      </c>
      <c r="C8" s="11">
        <f t="shared" ref="C8:W8" si="2">+C6+C7</f>
        <v>3691000</v>
      </c>
      <c r="D8" s="11">
        <f t="shared" si="2"/>
        <v>3613298.5688825543</v>
      </c>
      <c r="E8" s="11">
        <f t="shared" si="2"/>
        <v>3540935.6840112535</v>
      </c>
      <c r="F8" s="11">
        <f t="shared" si="2"/>
        <v>3473938.4636660358</v>
      </c>
      <c r="G8" s="11">
        <f t="shared" si="2"/>
        <v>3412347.003411564</v>
      </c>
      <c r="H8" s="11">
        <f t="shared" si="2"/>
        <v>3356214.9257471762</v>
      </c>
      <c r="I8" s="11">
        <f t="shared" si="2"/>
        <v>3305609.9795273431</v>
      </c>
      <c r="J8" s="11">
        <f t="shared" si="2"/>
        <v>3260614.6922586719</v>
      </c>
      <c r="K8" s="11">
        <f t="shared" si="2"/>
        <v>3221327.0786079704</v>
      </c>
      <c r="L8" s="11">
        <f t="shared" si="2"/>
        <v>3187861.4086999376</v>
      </c>
      <c r="M8" s="11">
        <f t="shared" si="2"/>
        <v>3160349.0400437396</v>
      </c>
      <c r="N8" s="11">
        <f t="shared" si="2"/>
        <v>3138939.3172062882</v>
      </c>
      <c r="O8" s="11">
        <f t="shared" si="2"/>
        <v>3123800.5436476646</v>
      </c>
      <c r="P8" s="11">
        <f t="shared" si="2"/>
        <v>3115121.0304521979</v>
      </c>
      <c r="Q8" s="11">
        <f t="shared" si="2"/>
        <v>3113110.2270286581</v>
      </c>
      <c r="R8" s="11">
        <f t="shared" si="2"/>
        <v>3117999.9392163651</v>
      </c>
      <c r="S8" s="11">
        <f t="shared" si="2"/>
        <v>3130045.6406224165</v>
      </c>
      <c r="T8" s="11">
        <f t="shared" si="2"/>
        <v>3149527.8834304535</v>
      </c>
      <c r="U8" s="11">
        <f t="shared" si="2"/>
        <v>3176753.8153652656</v>
      </c>
      <c r="V8" s="11">
        <f t="shared" si="2"/>
        <v>3212058.8099721503</v>
      </c>
      <c r="W8" s="11">
        <f t="shared" si="2"/>
        <v>3255808.217877374</v>
      </c>
      <c r="X8" s="11"/>
      <c r="Y8" s="11"/>
      <c r="Z8" s="11"/>
      <c r="AA8" s="11"/>
    </row>
    <row r="9" spans="1:27">
      <c r="A9" s="1" t="s">
        <v>58</v>
      </c>
      <c r="B9" s="5">
        <f>+(C9/C6)</f>
        <v>3.2097153804050357E-2</v>
      </c>
      <c r="C9" s="19">
        <f>+'Popn. statistics'!D23</f>
        <v>117283</v>
      </c>
      <c r="D9" s="19">
        <f t="shared" ref="D9:W9" si="3">+D6*$B$9</f>
        <v>114706.14420114944</v>
      </c>
      <c r="E9" s="19">
        <f t="shared" si="3"/>
        <v>112294.85915268453</v>
      </c>
      <c r="F9" s="19">
        <f t="shared" si="3"/>
        <v>110049.61189433158</v>
      </c>
      <c r="G9" s="19">
        <f t="shared" si="3"/>
        <v>107971.25785504674</v>
      </c>
      <c r="H9" s="19">
        <f t="shared" si="3"/>
        <v>106061.0565315011</v>
      </c>
      <c r="I9" s="19">
        <f t="shared" si="3"/>
        <v>104320.68862704489</v>
      </c>
      <c r="J9" s="19">
        <f t="shared" si="3"/>
        <v>102752.27474128618</v>
      </c>
      <c r="K9" s="19">
        <f t="shared" si="3"/>
        <v>101358.3957070858</v>
      </c>
      <c r="L9" s="19">
        <f t="shared" si="3"/>
        <v>100142.11467889011</v>
      </c>
      <c r="M9" s="19">
        <f t="shared" si="3"/>
        <v>99107.00108392736</v>
      </c>
      <c r="N9" s="19">
        <f t="shared" si="3"/>
        <v>98257.156555917813</v>
      </c>
      <c r="O9" s="19">
        <f t="shared" si="3"/>
        <v>97597.242979627103</v>
      </c>
      <c r="P9" s="19">
        <f t="shared" si="3"/>
        <v>97132.512783866841</v>
      </c>
      <c r="Q9" s="19">
        <f t="shared" si="3"/>
        <v>96868.841630458366</v>
      </c>
      <c r="R9" s="19">
        <f t="shared" si="3"/>
        <v>96812.763657267948</v>
      </c>
      <c r="S9" s="19">
        <f t="shared" si="3"/>
        <v>96971.509444744821</v>
      </c>
      <c r="T9" s="19">
        <f t="shared" si="3"/>
        <v>97353.046887496137</v>
      </c>
      <c r="U9" s="19">
        <f t="shared" si="3"/>
        <v>97966.125165371559</v>
      </c>
      <c r="V9" s="19">
        <f t="shared" si="3"/>
        <v>98820.322022362932</v>
      </c>
      <c r="W9" s="19">
        <f t="shared" si="3"/>
        <v>99926.094576413496</v>
      </c>
      <c r="X9" s="19"/>
      <c r="Y9" s="19"/>
      <c r="Z9" s="19"/>
      <c r="AA9" s="19"/>
    </row>
    <row r="10" spans="1:27">
      <c r="A10" s="1" t="s">
        <v>59</v>
      </c>
      <c r="B10" s="5"/>
      <c r="C10" s="19">
        <f t="shared" ref="C10:AA10" si="4">+C8-C9</f>
        <v>3573717</v>
      </c>
      <c r="D10" s="19">
        <f t="shared" si="4"/>
        <v>3498592.4246814051</v>
      </c>
      <c r="E10" s="19">
        <f t="shared" si="4"/>
        <v>3428640.8248585691</v>
      </c>
      <c r="F10" s="19">
        <f t="shared" si="4"/>
        <v>3363888.8517717044</v>
      </c>
      <c r="G10" s="19">
        <f t="shared" si="4"/>
        <v>3304375.7455565175</v>
      </c>
      <c r="H10" s="19">
        <f t="shared" si="4"/>
        <v>3250153.8692156752</v>
      </c>
      <c r="I10" s="19">
        <f t="shared" si="4"/>
        <v>3201289.2909002984</v>
      </c>
      <c r="J10" s="19">
        <f t="shared" si="4"/>
        <v>3157862.4175173854</v>
      </c>
      <c r="K10" s="19">
        <f t="shared" si="4"/>
        <v>3119968.6829008847</v>
      </c>
      <c r="L10" s="19">
        <f t="shared" si="4"/>
        <v>3087719.2940210477</v>
      </c>
      <c r="M10" s="19">
        <f t="shared" si="4"/>
        <v>3061242.0389598124</v>
      </c>
      <c r="N10" s="19">
        <f t="shared" si="4"/>
        <v>3040682.1606503706</v>
      </c>
      <c r="O10" s="19">
        <f t="shared" si="4"/>
        <v>3026203.3006680375</v>
      </c>
      <c r="P10" s="19">
        <f t="shared" si="4"/>
        <v>3017988.517668331</v>
      </c>
      <c r="Q10" s="19">
        <f t="shared" si="4"/>
        <v>3016241.3853981998</v>
      </c>
      <c r="R10" s="19">
        <f t="shared" si="4"/>
        <v>3021187.175559097</v>
      </c>
      <c r="S10" s="19">
        <f t="shared" si="4"/>
        <v>3033074.1311776717</v>
      </c>
      <c r="T10" s="19">
        <f t="shared" si="4"/>
        <v>3052174.8365429575</v>
      </c>
      <c r="U10" s="19">
        <f t="shared" si="4"/>
        <v>3078787.6901998939</v>
      </c>
      <c r="V10" s="19">
        <f t="shared" si="4"/>
        <v>3113238.4879497872</v>
      </c>
      <c r="W10" s="19">
        <f t="shared" si="4"/>
        <v>3155882.1233009608</v>
      </c>
      <c r="X10" s="19">
        <f t="shared" si="4"/>
        <v>0</v>
      </c>
      <c r="Y10" s="19">
        <f t="shared" si="4"/>
        <v>0</v>
      </c>
      <c r="Z10" s="19">
        <f t="shared" si="4"/>
        <v>0</v>
      </c>
      <c r="AA10" s="19">
        <f t="shared" si="4"/>
        <v>0</v>
      </c>
    </row>
    <row r="11" spans="1:27">
      <c r="A11" s="1" t="s">
        <v>60</v>
      </c>
      <c r="B11" s="20">
        <v>0.1</v>
      </c>
      <c r="C11" s="11">
        <f t="shared" ref="C11:AA11" si="5">+C10*$B$11</f>
        <v>357371.7</v>
      </c>
      <c r="D11" s="11">
        <f t="shared" si="5"/>
        <v>349859.24246814055</v>
      </c>
      <c r="E11" s="11">
        <f t="shared" si="5"/>
        <v>342864.08248585695</v>
      </c>
      <c r="F11" s="11">
        <f t="shared" si="5"/>
        <v>336388.88517717045</v>
      </c>
      <c r="G11" s="11">
        <f t="shared" si="5"/>
        <v>330437.57455565175</v>
      </c>
      <c r="H11" s="11">
        <f t="shared" si="5"/>
        <v>325015.38692156755</v>
      </c>
      <c r="I11" s="11">
        <f t="shared" si="5"/>
        <v>320128.92909002985</v>
      </c>
      <c r="J11" s="11">
        <f t="shared" si="5"/>
        <v>315786.24175173859</v>
      </c>
      <c r="K11" s="11">
        <f t="shared" si="5"/>
        <v>311996.86829008849</v>
      </c>
      <c r="L11" s="11">
        <f t="shared" si="5"/>
        <v>308771.92940210475</v>
      </c>
      <c r="M11" s="11">
        <f t="shared" si="5"/>
        <v>306124.20389598125</v>
      </c>
      <c r="N11" s="11">
        <f t="shared" si="5"/>
        <v>304068.21606503706</v>
      </c>
      <c r="O11" s="11">
        <f t="shared" si="5"/>
        <v>302620.33006680378</v>
      </c>
      <c r="P11" s="11">
        <f t="shared" si="5"/>
        <v>301798.8517668331</v>
      </c>
      <c r="Q11" s="11">
        <f t="shared" si="5"/>
        <v>301624.13853981998</v>
      </c>
      <c r="R11" s="11">
        <f t="shared" si="5"/>
        <v>302118.71755590971</v>
      </c>
      <c r="S11" s="11">
        <f t="shared" si="5"/>
        <v>303307.4131177672</v>
      </c>
      <c r="T11" s="11">
        <f t="shared" si="5"/>
        <v>305217.48365429573</v>
      </c>
      <c r="U11" s="11">
        <f t="shared" si="5"/>
        <v>307878.76901998941</v>
      </c>
      <c r="V11" s="11">
        <f t="shared" si="5"/>
        <v>311323.84879497875</v>
      </c>
      <c r="W11" s="11">
        <f t="shared" si="5"/>
        <v>315588.21233009611</v>
      </c>
      <c r="X11" s="11">
        <f t="shared" si="5"/>
        <v>0</v>
      </c>
      <c r="Y11" s="11">
        <f t="shared" si="5"/>
        <v>0</v>
      </c>
      <c r="Z11" s="11">
        <f t="shared" si="5"/>
        <v>0</v>
      </c>
      <c r="AA11" s="11">
        <f t="shared" si="5"/>
        <v>0</v>
      </c>
    </row>
    <row r="12" spans="1:27">
      <c r="A12" s="21" t="s">
        <v>61</v>
      </c>
      <c r="B12" s="5">
        <f>+B9</f>
        <v>3.2097153804050357E-2</v>
      </c>
      <c r="C12" s="22">
        <f t="shared" ref="C12:W12" si="6">+C11*$B$12</f>
        <v>11470.614420114944</v>
      </c>
      <c r="D12" s="22">
        <f t="shared" si="6"/>
        <v>11229.485915268453</v>
      </c>
      <c r="E12" s="22">
        <f t="shared" si="6"/>
        <v>11004.961189433159</v>
      </c>
      <c r="F12" s="22">
        <f t="shared" si="6"/>
        <v>10797.125785504675</v>
      </c>
      <c r="G12" s="22">
        <f t="shared" si="6"/>
        <v>10606.105653150111</v>
      </c>
      <c r="H12" s="22">
        <f t="shared" si="6"/>
        <v>10432.068862704491</v>
      </c>
      <c r="I12" s="22">
        <f t="shared" si="6"/>
        <v>10275.227474128618</v>
      </c>
      <c r="J12" s="22">
        <f t="shared" si="6"/>
        <v>10135.839570708582</v>
      </c>
      <c r="K12" s="22">
        <f t="shared" si="6"/>
        <v>10014.211467889012</v>
      </c>
      <c r="L12" s="22">
        <f t="shared" si="6"/>
        <v>9910.7001083927353</v>
      </c>
      <c r="M12" s="22">
        <f t="shared" si="6"/>
        <v>9825.7156555917809</v>
      </c>
      <c r="N12" s="22">
        <f t="shared" si="6"/>
        <v>9759.7242979627099</v>
      </c>
      <c r="O12" s="22">
        <f t="shared" si="6"/>
        <v>9713.251278386686</v>
      </c>
      <c r="P12" s="22">
        <f t="shared" si="6"/>
        <v>9686.8841630458373</v>
      </c>
      <c r="Q12" s="22">
        <f t="shared" si="6"/>
        <v>9681.2763657267951</v>
      </c>
      <c r="R12" s="22">
        <f t="shared" si="6"/>
        <v>9697.1509444744825</v>
      </c>
      <c r="S12" s="22">
        <f t="shared" si="6"/>
        <v>9735.3046887496148</v>
      </c>
      <c r="T12" s="22">
        <f t="shared" si="6"/>
        <v>9796.6125165371559</v>
      </c>
      <c r="U12" s="22">
        <f t="shared" si="6"/>
        <v>9882.0322022362943</v>
      </c>
      <c r="V12" s="22">
        <f t="shared" si="6"/>
        <v>9992.6094576413507</v>
      </c>
      <c r="W12" s="22">
        <f t="shared" si="6"/>
        <v>10129.483389904397</v>
      </c>
      <c r="X12" s="22"/>
      <c r="Y12" s="22"/>
      <c r="Z12" s="22"/>
      <c r="AA12" s="22"/>
    </row>
    <row r="13" spans="1:27">
      <c r="A13" s="21"/>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c r="A14" s="1" t="s">
        <v>62</v>
      </c>
      <c r="C14" s="19">
        <f t="shared" ref="C14:W14" si="7">+C11</f>
        <v>357371.7</v>
      </c>
      <c r="D14" s="19">
        <f t="shared" si="7"/>
        <v>349859.24246814055</v>
      </c>
      <c r="E14" s="19">
        <f t="shared" si="7"/>
        <v>342864.08248585695</v>
      </c>
      <c r="F14" s="19">
        <f t="shared" si="7"/>
        <v>336388.88517717045</v>
      </c>
      <c r="G14" s="19">
        <f t="shared" si="7"/>
        <v>330437.57455565175</v>
      </c>
      <c r="H14" s="19">
        <f t="shared" si="7"/>
        <v>325015.38692156755</v>
      </c>
      <c r="I14" s="19">
        <f t="shared" si="7"/>
        <v>320128.92909002985</v>
      </c>
      <c r="J14" s="19">
        <f t="shared" si="7"/>
        <v>315786.24175173859</v>
      </c>
      <c r="K14" s="19">
        <f t="shared" si="7"/>
        <v>311996.86829008849</v>
      </c>
      <c r="L14" s="19">
        <f t="shared" si="7"/>
        <v>308771.92940210475</v>
      </c>
      <c r="M14" s="19">
        <f t="shared" si="7"/>
        <v>306124.20389598125</v>
      </c>
      <c r="N14" s="19">
        <f t="shared" si="7"/>
        <v>304068.21606503706</v>
      </c>
      <c r="O14" s="19">
        <f t="shared" si="7"/>
        <v>302620.33006680378</v>
      </c>
      <c r="P14" s="19">
        <f t="shared" si="7"/>
        <v>301798.8517668331</v>
      </c>
      <c r="Q14" s="19">
        <f t="shared" si="7"/>
        <v>301624.13853981998</v>
      </c>
      <c r="R14" s="19">
        <f t="shared" si="7"/>
        <v>302118.71755590971</v>
      </c>
      <c r="S14" s="19">
        <f t="shared" si="7"/>
        <v>303307.4131177672</v>
      </c>
      <c r="T14" s="19">
        <f t="shared" si="7"/>
        <v>305217.48365429573</v>
      </c>
      <c r="U14" s="19">
        <f t="shared" si="7"/>
        <v>307878.76901998941</v>
      </c>
      <c r="V14" s="19">
        <f t="shared" si="7"/>
        <v>311323.84879497875</v>
      </c>
      <c r="W14" s="19">
        <f t="shared" si="7"/>
        <v>315588.21233009611</v>
      </c>
      <c r="X14" s="19"/>
      <c r="Y14" s="19"/>
      <c r="Z14" s="19"/>
      <c r="AA14" s="19"/>
    </row>
    <row r="15" spans="1:27">
      <c r="A15" s="1" t="s">
        <v>63</v>
      </c>
      <c r="C15" s="23">
        <f t="shared" ref="C15:W15" si="8">+C14/C6*100</f>
        <v>9.7802873563218391</v>
      </c>
      <c r="D15" s="23">
        <f t="shared" si="8"/>
        <v>9.789785885903683</v>
      </c>
      <c r="E15" s="23">
        <f t="shared" si="8"/>
        <v>9.800057876621036</v>
      </c>
      <c r="F15" s="23">
        <f t="shared" si="8"/>
        <v>9.8111439010543329</v>
      </c>
      <c r="G15" s="23">
        <f t="shared" si="8"/>
        <v>9.823082423832636</v>
      </c>
      <c r="H15" s="23">
        <f t="shared" si="8"/>
        <v>9.8359088659521969</v>
      </c>
      <c r="I15" s="23">
        <f t="shared" si="8"/>
        <v>9.8496545693476083</v>
      </c>
      <c r="J15" s="23">
        <f t="shared" si="8"/>
        <v>9.864345676267515</v>
      </c>
      <c r="K15" s="23">
        <f t="shared" si="8"/>
        <v>9.8800019455999877</v>
      </c>
      <c r="L15" s="23">
        <f t="shared" si="8"/>
        <v>9.8966355365790015</v>
      </c>
      <c r="M15" s="23">
        <f t="shared" si="8"/>
        <v>9.9142497988320866</v>
      </c>
      <c r="N15" s="23">
        <f t="shared" si="8"/>
        <v>9.932838115876562</v>
      </c>
      <c r="O15" s="23">
        <f t="shared" si="8"/>
        <v>9.9523828561573957</v>
      </c>
      <c r="P15" s="23">
        <f t="shared" si="8"/>
        <v>9.9728544906487517</v>
      </c>
      <c r="Q15" s="23">
        <f t="shared" si="8"/>
        <v>9.9942109379810322</v>
      </c>
      <c r="R15" s="23">
        <f t="shared" si="8"/>
        <v>10.016397196142325</v>
      </c>
      <c r="S15" s="23">
        <f t="shared" si="8"/>
        <v>10.039345313374618</v>
      </c>
      <c r="T15" s="23">
        <f t="shared" si="8"/>
        <v>10.062974739617951</v>
      </c>
      <c r="U15" s="23">
        <f t="shared" si="8"/>
        <v>10.087193083889911</v>
      </c>
      <c r="V15" s="23">
        <f t="shared" si="8"/>
        <v>10.111897283010302</v>
      </c>
      <c r="W15" s="23">
        <f t="shared" si="8"/>
        <v>10.136975164338459</v>
      </c>
      <c r="X15" s="15"/>
      <c r="Y15" s="15"/>
    </row>
    <row r="16" spans="1:27">
      <c r="F16" s="15"/>
      <c r="G16" s="15"/>
      <c r="H16" s="23"/>
      <c r="I16" s="23"/>
      <c r="J16" s="15"/>
      <c r="K16" s="15"/>
      <c r="L16" s="15"/>
      <c r="M16" s="15"/>
      <c r="N16" s="15"/>
      <c r="O16" s="15"/>
      <c r="P16" s="15"/>
      <c r="Q16" s="15"/>
      <c r="R16" s="15"/>
      <c r="S16" s="15"/>
      <c r="T16" s="15"/>
      <c r="U16" s="15"/>
      <c r="V16" s="15"/>
      <c r="W16" s="15"/>
    </row>
    <row r="17" spans="1:27">
      <c r="A17" s="1" t="s">
        <v>64</v>
      </c>
      <c r="C17" s="12">
        <f t="shared" ref="C17:W17" si="9">+C14</f>
        <v>357371.7</v>
      </c>
      <c r="D17" s="12">
        <f t="shared" si="9"/>
        <v>349859.24246814055</v>
      </c>
      <c r="E17" s="12">
        <f t="shared" si="9"/>
        <v>342864.08248585695</v>
      </c>
      <c r="F17" s="12">
        <f t="shared" si="9"/>
        <v>336388.88517717045</v>
      </c>
      <c r="G17" s="12">
        <f t="shared" si="9"/>
        <v>330437.57455565175</v>
      </c>
      <c r="H17" s="12">
        <f t="shared" si="9"/>
        <v>325015.38692156755</v>
      </c>
      <c r="I17" s="12">
        <f t="shared" si="9"/>
        <v>320128.92909002985</v>
      </c>
      <c r="J17" s="12">
        <f t="shared" si="9"/>
        <v>315786.24175173859</v>
      </c>
      <c r="K17" s="12">
        <f t="shared" si="9"/>
        <v>311996.86829008849</v>
      </c>
      <c r="L17" s="12">
        <f t="shared" si="9"/>
        <v>308771.92940210475</v>
      </c>
      <c r="M17" s="12">
        <f t="shared" si="9"/>
        <v>306124.20389598125</v>
      </c>
      <c r="N17" s="12">
        <f t="shared" si="9"/>
        <v>304068.21606503706</v>
      </c>
      <c r="O17" s="12">
        <f t="shared" si="9"/>
        <v>302620.33006680378</v>
      </c>
      <c r="P17" s="12">
        <f t="shared" si="9"/>
        <v>301798.8517668331</v>
      </c>
      <c r="Q17" s="12">
        <f t="shared" si="9"/>
        <v>301624.13853981998</v>
      </c>
      <c r="R17" s="12">
        <f t="shared" si="9"/>
        <v>302118.71755590971</v>
      </c>
      <c r="S17" s="12">
        <f t="shared" si="9"/>
        <v>303307.4131177672</v>
      </c>
      <c r="T17" s="12">
        <f t="shared" si="9"/>
        <v>305217.48365429573</v>
      </c>
      <c r="U17" s="12">
        <f t="shared" si="9"/>
        <v>307878.76901998941</v>
      </c>
      <c r="V17" s="12">
        <f t="shared" si="9"/>
        <v>311323.84879497875</v>
      </c>
      <c r="W17" s="12">
        <f t="shared" si="9"/>
        <v>315588.21233009611</v>
      </c>
      <c r="X17" s="12"/>
      <c r="Y17" s="12"/>
      <c r="Z17" s="12"/>
      <c r="AA17" s="12"/>
    </row>
    <row r="18" spans="1:27">
      <c r="A18" s="1" t="s">
        <v>65</v>
      </c>
      <c r="C18" s="13">
        <f>+Data!B20</f>
        <v>42000</v>
      </c>
      <c r="D18" s="13">
        <f>+C18*Data!$C$20</f>
        <v>43260</v>
      </c>
      <c r="E18" s="13">
        <f>+D18*Data!$C$20</f>
        <v>44557.8</v>
      </c>
      <c r="F18" s="13">
        <f>+E18*Data!$C$20</f>
        <v>45894.534000000007</v>
      </c>
      <c r="G18" s="13">
        <f>+F18*Data!$C$20</f>
        <v>47271.370020000009</v>
      </c>
      <c r="H18" s="13">
        <f>+G18*Data!$C$20</f>
        <v>48689.511120600007</v>
      </c>
      <c r="I18" s="13">
        <f>+H18*Data!$C$20</f>
        <v>50150.196454218007</v>
      </c>
      <c r="J18" s="13">
        <f>+I18*Data!$C$20</f>
        <v>51654.702347844548</v>
      </c>
      <c r="K18" s="13">
        <f>+J18*Data!$C$20</f>
        <v>53204.343418279888</v>
      </c>
      <c r="L18" s="13">
        <f>+K18*Data!$C$20</f>
        <v>54800.47372082829</v>
      </c>
      <c r="M18" s="13">
        <f>+L18*Data!$C$20</f>
        <v>56444.487932453143</v>
      </c>
      <c r="N18" s="13">
        <f>+M18*Data!$C$20</f>
        <v>58137.822570426739</v>
      </c>
      <c r="O18" s="13">
        <f>+N18*Data!$C$20</f>
        <v>59881.95724753954</v>
      </c>
      <c r="P18" s="13">
        <f>+O18*Data!$C$20</f>
        <v>61678.41596496573</v>
      </c>
      <c r="Q18" s="13">
        <f>+P18*Data!$C$20</f>
        <v>63528.768443914705</v>
      </c>
      <c r="R18" s="13">
        <f>+Q18*Data!$C$20</f>
        <v>65434.631497232149</v>
      </c>
      <c r="S18" s="13">
        <f>+R18*Data!$C$20</f>
        <v>67397.670442149116</v>
      </c>
      <c r="T18" s="13">
        <f>+S18*Data!$C$20</f>
        <v>69419.600555413592</v>
      </c>
      <c r="U18" s="13">
        <f>+T18*Data!$C$20</f>
        <v>71502.188572076004</v>
      </c>
      <c r="V18" s="13">
        <f>+U18*Data!$C$20</f>
        <v>73647.254229238286</v>
      </c>
      <c r="W18" s="13">
        <f>+V18*Data!$C$20</f>
        <v>75856.671856115441</v>
      </c>
    </row>
    <row r="19" spans="1:27">
      <c r="A19" s="1" t="s">
        <v>66</v>
      </c>
      <c r="C19" s="14">
        <f t="shared" ref="C19:W19" si="10">(+C17*C18)/1000000000</f>
        <v>15.009611400000001</v>
      </c>
      <c r="D19" s="14">
        <f t="shared" si="10"/>
        <v>15.13491082917176</v>
      </c>
      <c r="E19" s="14">
        <f t="shared" si="10"/>
        <v>15.277269214588317</v>
      </c>
      <c r="F19" s="14">
        <f t="shared" si="10"/>
        <v>15.438411127985749</v>
      </c>
      <c r="G19" s="14">
        <f t="shared" si="10"/>
        <v>15.620236855331555</v>
      </c>
      <c r="H19" s="14">
        <f t="shared" si="10"/>
        <v>15.824840295883778</v>
      </c>
      <c r="I19" s="14">
        <f t="shared" si="10"/>
        <v>16.054528684543424</v>
      </c>
      <c r="J19" s="14">
        <f t="shared" si="10"/>
        <v>16.311844323230538</v>
      </c>
      <c r="K19" s="14">
        <f t="shared" si="10"/>
        <v>16.599588525933708</v>
      </c>
      <c r="L19" s="14">
        <f t="shared" si="10"/>
        <v>16.920848002929489</v>
      </c>
      <c r="M19" s="14">
        <f t="shared" si="10"/>
        <v>17.279023932638538</v>
      </c>
      <c r="N19" s="14">
        <f t="shared" si="10"/>
        <v>17.677863994895304</v>
      </c>
      <c r="O19" s="14">
        <f t="shared" si="10"/>
        <v>18.121497667296651</v>
      </c>
      <c r="P19" s="14">
        <f t="shared" si="10"/>
        <v>18.614475117023765</v>
      </c>
      <c r="Q19" s="14">
        <f t="shared" si="10"/>
        <v>19.161810054391474</v>
      </c>
      <c r="R19" s="14">
        <f t="shared" si="10"/>
        <v>19.769026951687312</v>
      </c>
      <c r="S19" s="14">
        <f t="shared" si="10"/>
        <v>20.442213071972049</v>
      </c>
      <c r="T19" s="14">
        <f t="shared" si="10"/>
        <v>21.188075797809688</v>
      </c>
      <c r="U19" s="14">
        <f t="shared" si="10"/>
        <v>22.014005799805915</v>
      </c>
      <c r="V19" s="14">
        <f t="shared" si="10"/>
        <v>22.928146639828739</v>
      </c>
      <c r="W19" s="14">
        <f t="shared" si="10"/>
        <v>23.939471464382187</v>
      </c>
    </row>
    <row r="20" spans="1:27">
      <c r="A20" s="1" t="s">
        <v>67</v>
      </c>
      <c r="C20" s="14">
        <f t="shared" ref="C20:W20" si="11">+C19/12</f>
        <v>1.2508009500000001</v>
      </c>
      <c r="D20" s="14">
        <f t="shared" si="11"/>
        <v>1.2612425690976468</v>
      </c>
      <c r="E20" s="14">
        <f t="shared" si="11"/>
        <v>1.2731057678823599</v>
      </c>
      <c r="F20" s="14">
        <f t="shared" si="11"/>
        <v>1.286534260665479</v>
      </c>
      <c r="G20" s="14">
        <f t="shared" si="11"/>
        <v>1.3016864046109629</v>
      </c>
      <c r="H20" s="14">
        <f t="shared" si="11"/>
        <v>1.3187366913236482</v>
      </c>
      <c r="I20" s="14">
        <f t="shared" si="11"/>
        <v>1.3378773903786187</v>
      </c>
      <c r="J20" s="14">
        <f t="shared" si="11"/>
        <v>1.3593203602692114</v>
      </c>
      <c r="K20" s="14">
        <f t="shared" si="11"/>
        <v>1.383299043827809</v>
      </c>
      <c r="L20" s="14">
        <f t="shared" si="11"/>
        <v>1.4100706669107907</v>
      </c>
      <c r="M20" s="14">
        <f t="shared" si="11"/>
        <v>1.4399186610532115</v>
      </c>
      <c r="N20" s="14">
        <f t="shared" si="11"/>
        <v>1.4731553329079421</v>
      </c>
      <c r="O20" s="14">
        <f t="shared" si="11"/>
        <v>1.5101248056080543</v>
      </c>
      <c r="P20" s="14">
        <f t="shared" si="11"/>
        <v>1.5512062597519805</v>
      </c>
      <c r="Q20" s="14">
        <f t="shared" si="11"/>
        <v>1.5968175045326227</v>
      </c>
      <c r="R20" s="14">
        <f t="shared" si="11"/>
        <v>1.6474189126406094</v>
      </c>
      <c r="S20" s="14">
        <f t="shared" si="11"/>
        <v>1.7035177559976706</v>
      </c>
      <c r="T20" s="14">
        <f t="shared" si="11"/>
        <v>1.7656729831508073</v>
      </c>
      <c r="U20" s="14">
        <f t="shared" si="11"/>
        <v>1.8345004833171596</v>
      </c>
      <c r="V20" s="14">
        <f t="shared" si="11"/>
        <v>1.9106788866523949</v>
      </c>
      <c r="W20" s="14">
        <f t="shared" si="11"/>
        <v>1.9949559553651823</v>
      </c>
      <c r="X20" s="14"/>
      <c r="Y20" s="14"/>
      <c r="Z20" s="14"/>
      <c r="AA20" s="14"/>
    </row>
    <row r="21" spans="1:27">
      <c r="A21" s="1" t="s">
        <v>68</v>
      </c>
      <c r="B21" s="24">
        <f>+C21/C17</f>
        <v>3.2097153804050357E-2</v>
      </c>
      <c r="C21" s="12">
        <f t="shared" ref="C21:W21" si="12">+C12</f>
        <v>11470.614420114944</v>
      </c>
      <c r="D21" s="12">
        <f t="shared" si="12"/>
        <v>11229.485915268453</v>
      </c>
      <c r="E21" s="12">
        <f t="shared" si="12"/>
        <v>11004.961189433159</v>
      </c>
      <c r="F21" s="12">
        <f t="shared" si="12"/>
        <v>10797.125785504675</v>
      </c>
      <c r="G21" s="12">
        <f t="shared" si="12"/>
        <v>10606.105653150111</v>
      </c>
      <c r="H21" s="12">
        <f t="shared" si="12"/>
        <v>10432.068862704491</v>
      </c>
      <c r="I21" s="12">
        <f t="shared" si="12"/>
        <v>10275.227474128618</v>
      </c>
      <c r="J21" s="12">
        <f t="shared" si="12"/>
        <v>10135.839570708582</v>
      </c>
      <c r="K21" s="12">
        <f t="shared" si="12"/>
        <v>10014.211467889012</v>
      </c>
      <c r="L21" s="12">
        <f t="shared" si="12"/>
        <v>9910.7001083927353</v>
      </c>
      <c r="M21" s="12">
        <f t="shared" si="12"/>
        <v>9825.7156555917809</v>
      </c>
      <c r="N21" s="12">
        <f t="shared" si="12"/>
        <v>9759.7242979627099</v>
      </c>
      <c r="O21" s="12">
        <f t="shared" si="12"/>
        <v>9713.251278386686</v>
      </c>
      <c r="P21" s="12">
        <f t="shared" si="12"/>
        <v>9686.8841630458373</v>
      </c>
      <c r="Q21" s="12">
        <f t="shared" si="12"/>
        <v>9681.2763657267951</v>
      </c>
      <c r="R21" s="12">
        <f t="shared" si="12"/>
        <v>9697.1509444744825</v>
      </c>
      <c r="S21" s="12">
        <f t="shared" si="12"/>
        <v>9735.3046887496148</v>
      </c>
      <c r="T21" s="12">
        <f t="shared" si="12"/>
        <v>9796.6125165371559</v>
      </c>
      <c r="U21" s="12">
        <f t="shared" si="12"/>
        <v>9882.0322022362943</v>
      </c>
      <c r="V21" s="12">
        <f t="shared" si="12"/>
        <v>9992.6094576413507</v>
      </c>
      <c r="W21" s="12">
        <f t="shared" si="12"/>
        <v>10129.483389904397</v>
      </c>
      <c r="X21" s="12"/>
      <c r="Y21" s="12"/>
      <c r="Z21" s="12"/>
      <c r="AA21" s="12"/>
    </row>
    <row r="22" spans="1:27">
      <c r="A22" s="17" t="s">
        <v>69</v>
      </c>
      <c r="B22" s="8">
        <f>+Data!C46</f>
        <v>1.04</v>
      </c>
      <c r="C22" s="12">
        <f>+Data!B46</f>
        <v>700000</v>
      </c>
      <c r="D22" s="12">
        <f>+C22*Data!$C$46</f>
        <v>728000</v>
      </c>
      <c r="E22" s="12">
        <f>+D22*Data!$C$46</f>
        <v>757120</v>
      </c>
      <c r="F22" s="12">
        <f>+E22*Data!$C$46</f>
        <v>787404.80000000005</v>
      </c>
      <c r="G22" s="12">
        <f>+F22*Data!$C$46</f>
        <v>818900.99200000009</v>
      </c>
      <c r="H22" s="12">
        <f>+G22*Data!$C$46</f>
        <v>851657.03168000013</v>
      </c>
      <c r="I22" s="12">
        <f>+H22*Data!$C$46</f>
        <v>885723.31294720015</v>
      </c>
      <c r="J22" s="12">
        <f>+I22*Data!$C$46</f>
        <v>921152.24546508817</v>
      </c>
      <c r="K22" s="12">
        <f>+J22*Data!$C$46</f>
        <v>957998.33528369176</v>
      </c>
      <c r="L22" s="12">
        <f>+K22*Data!$C$46</f>
        <v>996318.26869503944</v>
      </c>
      <c r="M22" s="12">
        <f>+L22*Data!$C$46</f>
        <v>1036170.999442841</v>
      </c>
      <c r="N22" s="12">
        <f>+M22*Data!$C$46</f>
        <v>1077617.8394205547</v>
      </c>
      <c r="O22" s="12">
        <f>+N22*Data!$C$46</f>
        <v>1120722.552997377</v>
      </c>
      <c r="P22" s="12">
        <f>+O22*Data!$C$46</f>
        <v>1165551.4551172722</v>
      </c>
      <c r="Q22" s="12">
        <f>+P22*Data!$C$46</f>
        <v>1212173.5133219631</v>
      </c>
      <c r="R22" s="12">
        <f>+Q22*Data!$C$46</f>
        <v>1260660.4538548416</v>
      </c>
      <c r="S22" s="12">
        <f>+R22*Data!$C$46</f>
        <v>1311086.8720090354</v>
      </c>
      <c r="T22" s="12">
        <f>+S22*Data!$C$46</f>
        <v>1363530.3468893969</v>
      </c>
      <c r="U22" s="12">
        <f>+T22*Data!$C$46</f>
        <v>1418071.5607649728</v>
      </c>
      <c r="V22" s="12">
        <f>+U22*Data!$C$46</f>
        <v>1474794.4231955719</v>
      </c>
      <c r="W22" s="12">
        <f>+V22*Data!$C$46</f>
        <v>1533786.2001233948</v>
      </c>
    </row>
    <row r="23" spans="1:27">
      <c r="A23" s="1" t="s">
        <v>70</v>
      </c>
      <c r="C23" s="15">
        <f t="shared" ref="C23:W23" si="13">(+C21*C22)/1000000000</f>
        <v>8.0294300940804604</v>
      </c>
      <c r="D23" s="15">
        <f t="shared" si="13"/>
        <v>8.1750657463154344</v>
      </c>
      <c r="E23" s="15">
        <f t="shared" si="13"/>
        <v>8.3320762157436334</v>
      </c>
      <c r="F23" s="15">
        <f t="shared" si="13"/>
        <v>8.5017086697101512</v>
      </c>
      <c r="G23" s="15">
        <f t="shared" si="13"/>
        <v>8.6853504406214359</v>
      </c>
      <c r="H23" s="15">
        <f t="shared" si="13"/>
        <v>8.884544801892261</v>
      </c>
      <c r="I23" s="15">
        <f t="shared" si="13"/>
        <v>9.1010085196712911</v>
      </c>
      <c r="J23" s="15">
        <f t="shared" si="13"/>
        <v>9.3366513802321052</v>
      </c>
      <c r="K23" s="15">
        <f t="shared" si="13"/>
        <v>9.5935979154165292</v>
      </c>
      <c r="L23" s="15">
        <f t="shared" si="13"/>
        <v>9.874211573549589</v>
      </c>
      <c r="M23" s="15">
        <f t="shared" si="13"/>
        <v>10.181121611095705</v>
      </c>
      <c r="N23" s="15">
        <f t="shared" si="13"/>
        <v>10.517253011310865</v>
      </c>
      <c r="O23" s="15">
        <f t="shared" si="13"/>
        <v>10.885859770618563</v>
      </c>
      <c r="P23" s="15">
        <f t="shared" si="13"/>
        <v>11.290561931790535</v>
      </c>
      <c r="Q23" s="15">
        <f t="shared" si="13"/>
        <v>11.735386785683938</v>
      </c>
      <c r="R23" s="15">
        <f t="shared" si="13"/>
        <v>12.224814710760107</v>
      </c>
      <c r="S23" s="15">
        <f t="shared" si="13"/>
        <v>12.76383017242763</v>
      </c>
      <c r="T23" s="15">
        <f t="shared" si="13"/>
        <v>13.357978463014916</v>
      </c>
      <c r="U23" s="15">
        <f t="shared" si="13"/>
        <v>14.013428828554943</v>
      </c>
      <c r="V23" s="15">
        <f t="shared" si="13"/>
        <v>14.737044701300793</v>
      </c>
      <c r="W23" s="15">
        <f t="shared" si="13"/>
        <v>15.536461837814509</v>
      </c>
    </row>
    <row r="24" spans="1:27">
      <c r="A24" s="1" t="s">
        <v>67</v>
      </c>
      <c r="C24" s="15">
        <f t="shared" ref="C24:W24" si="14">+C23/12</f>
        <v>0.66911917450670499</v>
      </c>
      <c r="D24" s="15">
        <f t="shared" si="14"/>
        <v>0.68125547885961957</v>
      </c>
      <c r="E24" s="15">
        <f t="shared" si="14"/>
        <v>0.69433968464530282</v>
      </c>
      <c r="F24" s="15">
        <f t="shared" si="14"/>
        <v>0.70847572247584589</v>
      </c>
      <c r="G24" s="15">
        <f t="shared" si="14"/>
        <v>0.7237792033851197</v>
      </c>
      <c r="H24" s="15">
        <f t="shared" si="14"/>
        <v>0.74037873349102179</v>
      </c>
      <c r="I24" s="15">
        <f t="shared" si="14"/>
        <v>0.75841737663927422</v>
      </c>
      <c r="J24" s="15">
        <f t="shared" si="14"/>
        <v>0.77805428168600876</v>
      </c>
      <c r="K24" s="15">
        <f t="shared" si="14"/>
        <v>0.79946649295137739</v>
      </c>
      <c r="L24" s="15">
        <f t="shared" si="14"/>
        <v>0.82285096446246575</v>
      </c>
      <c r="M24" s="15">
        <f t="shared" si="14"/>
        <v>0.84842680092464207</v>
      </c>
      <c r="N24" s="15">
        <f t="shared" si="14"/>
        <v>0.87643775094257215</v>
      </c>
      <c r="O24" s="15">
        <f t="shared" si="14"/>
        <v>0.90715498088488022</v>
      </c>
      <c r="P24" s="15">
        <f t="shared" si="14"/>
        <v>0.94088016098254457</v>
      </c>
      <c r="Q24" s="15">
        <f t="shared" si="14"/>
        <v>0.97794889880699476</v>
      </c>
      <c r="R24" s="15">
        <f t="shared" si="14"/>
        <v>1.018734559230009</v>
      </c>
      <c r="S24" s="15">
        <f t="shared" si="14"/>
        <v>1.0636525143689692</v>
      </c>
      <c r="T24" s="15">
        <f t="shared" si="14"/>
        <v>1.1131648719179097</v>
      </c>
      <c r="U24" s="15">
        <f t="shared" si="14"/>
        <v>1.167785735712912</v>
      </c>
      <c r="V24" s="15">
        <f t="shared" si="14"/>
        <v>1.2280870584417327</v>
      </c>
      <c r="W24" s="15">
        <f t="shared" si="14"/>
        <v>1.294705153151209</v>
      </c>
      <c r="X24" s="15"/>
      <c r="Y24" s="15"/>
      <c r="Z24" s="15"/>
      <c r="AA24" s="15"/>
    </row>
    <row r="25" spans="1:27">
      <c r="A25" s="1" t="s">
        <v>71</v>
      </c>
      <c r="C25" s="15">
        <f t="shared" ref="C25:W25" si="15">+C19</f>
        <v>15.009611400000001</v>
      </c>
      <c r="D25" s="15">
        <f t="shared" si="15"/>
        <v>15.13491082917176</v>
      </c>
      <c r="E25" s="15">
        <f t="shared" si="15"/>
        <v>15.277269214588317</v>
      </c>
      <c r="F25" s="15">
        <f t="shared" si="15"/>
        <v>15.438411127985749</v>
      </c>
      <c r="G25" s="15">
        <f t="shared" si="15"/>
        <v>15.620236855331555</v>
      </c>
      <c r="H25" s="15">
        <f t="shared" si="15"/>
        <v>15.824840295883778</v>
      </c>
      <c r="I25" s="15">
        <f t="shared" si="15"/>
        <v>16.054528684543424</v>
      </c>
      <c r="J25" s="15">
        <f t="shared" si="15"/>
        <v>16.311844323230538</v>
      </c>
      <c r="K25" s="15">
        <f t="shared" si="15"/>
        <v>16.599588525933708</v>
      </c>
      <c r="L25" s="15">
        <f t="shared" si="15"/>
        <v>16.920848002929489</v>
      </c>
      <c r="M25" s="15">
        <f t="shared" si="15"/>
        <v>17.279023932638538</v>
      </c>
      <c r="N25" s="15">
        <f t="shared" si="15"/>
        <v>17.677863994895304</v>
      </c>
      <c r="O25" s="15">
        <f t="shared" si="15"/>
        <v>18.121497667296651</v>
      </c>
      <c r="P25" s="15">
        <f t="shared" si="15"/>
        <v>18.614475117023765</v>
      </c>
      <c r="Q25" s="15">
        <f t="shared" si="15"/>
        <v>19.161810054391474</v>
      </c>
      <c r="R25" s="15">
        <f t="shared" si="15"/>
        <v>19.769026951687312</v>
      </c>
      <c r="S25" s="15">
        <f t="shared" si="15"/>
        <v>20.442213071972049</v>
      </c>
      <c r="T25" s="15">
        <f t="shared" si="15"/>
        <v>21.188075797809688</v>
      </c>
      <c r="U25" s="15">
        <f t="shared" si="15"/>
        <v>22.014005799805915</v>
      </c>
      <c r="V25" s="15">
        <f t="shared" si="15"/>
        <v>22.928146639828739</v>
      </c>
      <c r="W25" s="15">
        <f t="shared" si="15"/>
        <v>23.939471464382187</v>
      </c>
    </row>
    <row r="26" spans="1:27">
      <c r="A26" s="1" t="s">
        <v>72</v>
      </c>
      <c r="B26" s="1">
        <v>0.01</v>
      </c>
      <c r="C26" s="15">
        <f t="shared" ref="C26:W26" si="16">+C19*$B$26</f>
        <v>0.150096114</v>
      </c>
      <c r="D26" s="15">
        <f t="shared" si="16"/>
        <v>0.1513491082917176</v>
      </c>
      <c r="E26" s="15">
        <f t="shared" si="16"/>
        <v>0.15277269214588318</v>
      </c>
      <c r="F26" s="15">
        <f t="shared" si="16"/>
        <v>0.15438411127985749</v>
      </c>
      <c r="G26" s="15">
        <f t="shared" si="16"/>
        <v>0.15620236855331557</v>
      </c>
      <c r="H26" s="15">
        <f t="shared" si="16"/>
        <v>0.15824840295883777</v>
      </c>
      <c r="I26" s="15">
        <f t="shared" si="16"/>
        <v>0.16054528684543423</v>
      </c>
      <c r="J26" s="15">
        <f t="shared" si="16"/>
        <v>0.16311844323230537</v>
      </c>
      <c r="K26" s="15">
        <f t="shared" si="16"/>
        <v>0.16599588525933709</v>
      </c>
      <c r="L26" s="15">
        <f t="shared" si="16"/>
        <v>0.16920848002929489</v>
      </c>
      <c r="M26" s="15">
        <f t="shared" si="16"/>
        <v>0.17279023932638538</v>
      </c>
      <c r="N26" s="15">
        <f t="shared" si="16"/>
        <v>0.17677863994895304</v>
      </c>
      <c r="O26" s="15">
        <f t="shared" si="16"/>
        <v>0.18121497667296652</v>
      </c>
      <c r="P26" s="15">
        <f t="shared" si="16"/>
        <v>0.18614475117023765</v>
      </c>
      <c r="Q26" s="15">
        <f t="shared" si="16"/>
        <v>0.19161810054391473</v>
      </c>
      <c r="R26" s="15">
        <f t="shared" si="16"/>
        <v>0.19769026951687313</v>
      </c>
      <c r="S26" s="15">
        <f t="shared" si="16"/>
        <v>0.20442213071972049</v>
      </c>
      <c r="T26" s="15">
        <f t="shared" si="16"/>
        <v>0.21188075797809688</v>
      </c>
      <c r="U26" s="15">
        <f t="shared" si="16"/>
        <v>0.22014005799805916</v>
      </c>
      <c r="V26" s="15">
        <f t="shared" si="16"/>
        <v>0.22928146639828739</v>
      </c>
      <c r="W26" s="15">
        <f t="shared" si="16"/>
        <v>0.23939471464382187</v>
      </c>
    </row>
    <row r="27" spans="1:27">
      <c r="A27" s="25" t="s">
        <v>73</v>
      </c>
      <c r="C27" s="15">
        <f t="shared" ref="C27:W27" si="17">+C23-C25-C26</f>
        <v>-7.1302774199195404</v>
      </c>
      <c r="D27" s="15">
        <f t="shared" si="17"/>
        <v>-7.1111941911480434</v>
      </c>
      <c r="E27" s="15">
        <f t="shared" si="17"/>
        <v>-7.0979656909905673</v>
      </c>
      <c r="F27" s="15">
        <f t="shared" si="17"/>
        <v>-7.091086569555455</v>
      </c>
      <c r="G27" s="15">
        <f t="shared" si="17"/>
        <v>-7.0910887832634346</v>
      </c>
      <c r="H27" s="15">
        <f t="shared" si="17"/>
        <v>-7.0985438969503543</v>
      </c>
      <c r="I27" s="15">
        <f t="shared" si="17"/>
        <v>-7.1140654517175674</v>
      </c>
      <c r="J27" s="15">
        <f t="shared" si="17"/>
        <v>-7.1383113862307379</v>
      </c>
      <c r="K27" s="15">
        <f t="shared" si="17"/>
        <v>-7.1719864957765163</v>
      </c>
      <c r="L27" s="15">
        <f t="shared" si="17"/>
        <v>-7.2158449094091948</v>
      </c>
      <c r="M27" s="15">
        <f t="shared" si="17"/>
        <v>-7.2706925608692181</v>
      </c>
      <c r="N27" s="15">
        <f t="shared" si="17"/>
        <v>-7.337389623533392</v>
      </c>
      <c r="O27" s="15">
        <f t="shared" si="17"/>
        <v>-7.416852873351055</v>
      </c>
      <c r="P27" s="15">
        <f t="shared" si="17"/>
        <v>-7.5100579364034683</v>
      </c>
      <c r="Q27" s="15">
        <f t="shared" si="17"/>
        <v>-7.6180413692514506</v>
      </c>
      <c r="R27" s="15">
        <f t="shared" si="17"/>
        <v>-7.7419025104440786</v>
      </c>
      <c r="S27" s="15">
        <f t="shared" si="17"/>
        <v>-7.882805030264139</v>
      </c>
      <c r="T27" s="15">
        <f t="shared" si="17"/>
        <v>-8.0419780927728688</v>
      </c>
      <c r="U27" s="15">
        <f t="shared" si="17"/>
        <v>-8.2207170292490304</v>
      </c>
      <c r="V27" s="15">
        <f t="shared" si="17"/>
        <v>-8.420383404926234</v>
      </c>
      <c r="W27" s="15">
        <f t="shared" si="17"/>
        <v>-8.6424043412115008</v>
      </c>
      <c r="X27" s="15"/>
      <c r="Y27" s="15"/>
      <c r="Z27" s="15"/>
      <c r="AA27" s="15"/>
    </row>
    <row r="28" spans="1:27">
      <c r="A28" s="1" t="s">
        <v>67</v>
      </c>
      <c r="C28" s="15">
        <f t="shared" ref="C28:W28" si="18">+C27/12</f>
        <v>-0.594189784993295</v>
      </c>
      <c r="D28" s="15">
        <f t="shared" si="18"/>
        <v>-0.59259951592900362</v>
      </c>
      <c r="E28" s="15">
        <f t="shared" si="18"/>
        <v>-0.59149714091588057</v>
      </c>
      <c r="F28" s="15">
        <f t="shared" si="18"/>
        <v>-0.59092388079628788</v>
      </c>
      <c r="G28" s="15">
        <f t="shared" si="18"/>
        <v>-0.59092406527195285</v>
      </c>
      <c r="H28" s="15">
        <f t="shared" si="18"/>
        <v>-0.59154532474586285</v>
      </c>
      <c r="I28" s="15">
        <f t="shared" si="18"/>
        <v>-0.59283878764313058</v>
      </c>
      <c r="J28" s="15">
        <f t="shared" si="18"/>
        <v>-0.59485928218589479</v>
      </c>
      <c r="K28" s="15">
        <f t="shared" si="18"/>
        <v>-0.59766554131470973</v>
      </c>
      <c r="L28" s="15">
        <f t="shared" si="18"/>
        <v>-0.6013204091174329</v>
      </c>
      <c r="M28" s="15">
        <f t="shared" si="18"/>
        <v>-0.60589104673910155</v>
      </c>
      <c r="N28" s="15">
        <f t="shared" si="18"/>
        <v>-0.61144913529444933</v>
      </c>
      <c r="O28" s="15">
        <f t="shared" si="18"/>
        <v>-0.61807107277925455</v>
      </c>
      <c r="P28" s="15">
        <f t="shared" si="18"/>
        <v>-0.62583816136695569</v>
      </c>
      <c r="Q28" s="15">
        <f t="shared" si="18"/>
        <v>-0.63483678077095418</v>
      </c>
      <c r="R28" s="15">
        <f t="shared" si="18"/>
        <v>-0.64515854253700655</v>
      </c>
      <c r="S28" s="15">
        <f t="shared" si="18"/>
        <v>-0.65690041918867825</v>
      </c>
      <c r="T28" s="15">
        <f t="shared" si="18"/>
        <v>-0.67016484106440577</v>
      </c>
      <c r="U28" s="15">
        <f t="shared" si="18"/>
        <v>-0.68505975243741923</v>
      </c>
      <c r="V28" s="15">
        <f t="shared" si="18"/>
        <v>-0.70169861707718617</v>
      </c>
      <c r="W28" s="15">
        <f t="shared" si="18"/>
        <v>-0.72020036176762503</v>
      </c>
      <c r="X28" s="15"/>
      <c r="Y28" s="15"/>
      <c r="Z28" s="15"/>
      <c r="AA28" s="15"/>
    </row>
    <row r="29" spans="1:27">
      <c r="A29" s="25" t="s">
        <v>74</v>
      </c>
      <c r="C29" s="15">
        <f>+C27</f>
        <v>-7.1302774199195404</v>
      </c>
      <c r="D29" s="15">
        <f t="shared" ref="D29:W29" si="19">+C29+D27</f>
        <v>-14.241471611067585</v>
      </c>
      <c r="E29" s="15">
        <f t="shared" si="19"/>
        <v>-21.339437302058151</v>
      </c>
      <c r="F29" s="15">
        <f t="shared" si="19"/>
        <v>-28.430523871613605</v>
      </c>
      <c r="G29" s="15">
        <f t="shared" si="19"/>
        <v>-35.521612654877039</v>
      </c>
      <c r="H29" s="15">
        <f t="shared" si="19"/>
        <v>-42.620156551827392</v>
      </c>
      <c r="I29" s="15">
        <f t="shared" si="19"/>
        <v>-49.734222003544957</v>
      </c>
      <c r="J29" s="15">
        <f t="shared" si="19"/>
        <v>-56.872533389775697</v>
      </c>
      <c r="K29" s="15">
        <f t="shared" si="19"/>
        <v>-64.044519885552219</v>
      </c>
      <c r="L29" s="15">
        <f t="shared" si="19"/>
        <v>-71.260364794961419</v>
      </c>
      <c r="M29" s="15">
        <f t="shared" si="19"/>
        <v>-78.53105735583064</v>
      </c>
      <c r="N29" s="15">
        <f t="shared" si="19"/>
        <v>-85.868446979364037</v>
      </c>
      <c r="O29" s="15">
        <f t="shared" si="19"/>
        <v>-93.285299852715099</v>
      </c>
      <c r="P29" s="15">
        <f t="shared" si="19"/>
        <v>-100.79535778911857</v>
      </c>
      <c r="Q29" s="15">
        <f t="shared" si="19"/>
        <v>-108.41339915837003</v>
      </c>
      <c r="R29" s="15">
        <f t="shared" si="19"/>
        <v>-116.1553016688141</v>
      </c>
      <c r="S29" s="15">
        <f t="shared" si="19"/>
        <v>-124.03810669907824</v>
      </c>
      <c r="T29" s="15">
        <f t="shared" si="19"/>
        <v>-132.08008479185111</v>
      </c>
      <c r="U29" s="15">
        <f t="shared" si="19"/>
        <v>-140.30080182110015</v>
      </c>
      <c r="V29" s="15">
        <f t="shared" si="19"/>
        <v>-148.72118522602639</v>
      </c>
      <c r="W29" s="15">
        <f t="shared" si="19"/>
        <v>-157.36358956723788</v>
      </c>
      <c r="X29" s="15"/>
      <c r="Y29" s="15"/>
      <c r="Z29" s="15"/>
      <c r="AA29" s="15"/>
    </row>
    <row r="30" spans="1:27">
      <c r="A30" s="1" t="s">
        <v>75</v>
      </c>
      <c r="B30" s="1">
        <v>1.03</v>
      </c>
      <c r="C30" s="15">
        <f t="shared" ref="C30:W30" si="20">+C29*$B$30</f>
        <v>-7.3441857425171264</v>
      </c>
      <c r="D30" s="15">
        <f t="shared" si="20"/>
        <v>-14.668715759399612</v>
      </c>
      <c r="E30" s="15">
        <f t="shared" si="20"/>
        <v>-21.979620421119897</v>
      </c>
      <c r="F30" s="15">
        <f t="shared" si="20"/>
        <v>-29.283439587762015</v>
      </c>
      <c r="G30" s="15">
        <f t="shared" si="20"/>
        <v>-36.587261034523351</v>
      </c>
      <c r="H30" s="15">
        <f t="shared" si="20"/>
        <v>-43.898761248382215</v>
      </c>
      <c r="I30" s="15">
        <f t="shared" si="20"/>
        <v>-51.226248663651305</v>
      </c>
      <c r="J30" s="15">
        <f t="shared" si="20"/>
        <v>-58.578709391468969</v>
      </c>
      <c r="K30" s="15">
        <f t="shared" si="20"/>
        <v>-65.965855482118783</v>
      </c>
      <c r="L30" s="15">
        <f t="shared" si="20"/>
        <v>-73.398175738810266</v>
      </c>
      <c r="M30" s="15">
        <f t="shared" si="20"/>
        <v>-80.886989076505557</v>
      </c>
      <c r="N30" s="15">
        <f t="shared" si="20"/>
        <v>-88.444500388744956</v>
      </c>
      <c r="O30" s="15">
        <f t="shared" si="20"/>
        <v>-96.083858848296558</v>
      </c>
      <c r="P30" s="15">
        <f t="shared" si="20"/>
        <v>-103.81921852279213</v>
      </c>
      <c r="Q30" s="15">
        <f t="shared" si="20"/>
        <v>-111.66580113312114</v>
      </c>
      <c r="R30" s="15">
        <f t="shared" si="20"/>
        <v>-119.63996071887853</v>
      </c>
      <c r="S30" s="15">
        <f t="shared" si="20"/>
        <v>-127.75924990005059</v>
      </c>
      <c r="T30" s="15">
        <f t="shared" si="20"/>
        <v>-136.04248733560664</v>
      </c>
      <c r="U30" s="15">
        <f t="shared" si="20"/>
        <v>-144.50982587573316</v>
      </c>
      <c r="V30" s="15">
        <f t="shared" si="20"/>
        <v>-153.1828207828072</v>
      </c>
      <c r="W30" s="15">
        <f t="shared" si="20"/>
        <v>-162.08449725425501</v>
      </c>
      <c r="X30" s="15"/>
      <c r="Y30" s="15"/>
      <c r="Z30" s="15"/>
      <c r="AA30" s="15"/>
    </row>
    <row r="31" spans="1:27">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c r="A32" s="1" t="s">
        <v>76</v>
      </c>
      <c r="B32" s="8">
        <f>+Data!C20</f>
        <v>1.03</v>
      </c>
      <c r="C32" s="12">
        <v>24000</v>
      </c>
      <c r="D32" s="12">
        <f>+C32*Data!$C$20</f>
        <v>24720</v>
      </c>
      <c r="E32" s="12">
        <f>+D32*Data!$C$20</f>
        <v>25461.600000000002</v>
      </c>
      <c r="F32" s="12">
        <f>+E32*Data!$C$20</f>
        <v>26225.448000000004</v>
      </c>
      <c r="G32" s="12">
        <f>+F32*Data!$C$20</f>
        <v>27012.211440000006</v>
      </c>
      <c r="H32" s="12">
        <f>+G32*Data!$C$20</f>
        <v>27822.577783200006</v>
      </c>
      <c r="I32" s="12">
        <f>+H32*Data!$C$20</f>
        <v>28657.255116696007</v>
      </c>
      <c r="J32" s="12">
        <f>+I32*Data!$C$20</f>
        <v>29516.972770196888</v>
      </c>
      <c r="K32" s="12">
        <f>+J32*Data!$C$20</f>
        <v>30402.481953302795</v>
      </c>
      <c r="L32" s="12">
        <f>+K32*Data!$C$20</f>
        <v>31314.556411901878</v>
      </c>
      <c r="M32" s="12">
        <f>+L32*Data!$C$20</f>
        <v>32253.993104258934</v>
      </c>
      <c r="N32" s="12">
        <f>+M32*Data!$C$20</f>
        <v>33221.612897386702</v>
      </c>
      <c r="O32" s="12">
        <f>+N32*Data!$C$20</f>
        <v>34218.261284308304</v>
      </c>
      <c r="P32" s="12">
        <f>+O32*Data!$C$20</f>
        <v>35244.809122837556</v>
      </c>
      <c r="Q32" s="12">
        <f>+P32*Data!$C$20</f>
        <v>36302.153396522684</v>
      </c>
      <c r="R32" s="12">
        <f>+Q32*Data!$C$20</f>
        <v>37391.217998418368</v>
      </c>
      <c r="S32" s="12">
        <f>+R32*Data!$C$20</f>
        <v>38512.954538370919</v>
      </c>
      <c r="T32" s="12">
        <f>+S32*Data!$C$20</f>
        <v>39668.343174522051</v>
      </c>
      <c r="U32" s="12">
        <f>+T32*Data!$C$20</f>
        <v>40858.393469757713</v>
      </c>
      <c r="V32" s="12">
        <f>+U32*Data!$C$20</f>
        <v>42084.145273850445</v>
      </c>
      <c r="W32" s="12">
        <f>+V32*Data!$C$20</f>
        <v>43346.669632065961</v>
      </c>
    </row>
    <row r="33" spans="1:27">
      <c r="A33" s="1" t="s">
        <v>77</v>
      </c>
      <c r="C33" s="15">
        <f t="shared" ref="C33:W33" si="21">(+C32*C17)/1000000000</f>
        <v>8.5769207999999999</v>
      </c>
      <c r="D33" s="15">
        <f t="shared" si="21"/>
        <v>8.6485204738124359</v>
      </c>
      <c r="E33" s="15">
        <f t="shared" si="21"/>
        <v>8.7298681226218964</v>
      </c>
      <c r="F33" s="15">
        <f t="shared" si="21"/>
        <v>8.8219492159918556</v>
      </c>
      <c r="G33" s="15">
        <f t="shared" si="21"/>
        <v>8.9258496316180302</v>
      </c>
      <c r="H33" s="15">
        <f t="shared" si="21"/>
        <v>9.0427658833621596</v>
      </c>
      <c r="I33" s="15">
        <f t="shared" si="21"/>
        <v>9.1740163911676706</v>
      </c>
      <c r="J33" s="15">
        <f t="shared" si="21"/>
        <v>9.3210538989888807</v>
      </c>
      <c r="K33" s="15">
        <f t="shared" si="21"/>
        <v>9.485479157676405</v>
      </c>
      <c r="L33" s="15">
        <f t="shared" si="21"/>
        <v>9.6690560016739937</v>
      </c>
      <c r="M33" s="15">
        <f t="shared" si="21"/>
        <v>9.8737279615077345</v>
      </c>
      <c r="N33" s="15">
        <f t="shared" si="21"/>
        <v>10.101636568511603</v>
      </c>
      <c r="O33" s="15">
        <f t="shared" si="21"/>
        <v>10.355141524169511</v>
      </c>
      <c r="P33" s="15">
        <f t="shared" si="21"/>
        <v>10.636842924013578</v>
      </c>
      <c r="Q33" s="15">
        <f t="shared" si="21"/>
        <v>10.949605745366554</v>
      </c>
      <c r="R33" s="15">
        <f t="shared" si="21"/>
        <v>11.296586829535606</v>
      </c>
      <c r="S33" s="15">
        <f t="shared" si="21"/>
        <v>11.681264612555456</v>
      </c>
      <c r="T33" s="15">
        <f t="shared" si="21"/>
        <v>12.107471884462679</v>
      </c>
      <c r="U33" s="15">
        <f t="shared" si="21"/>
        <v>12.579431885603379</v>
      </c>
      <c r="V33" s="15">
        <f t="shared" si="21"/>
        <v>13.101798079902135</v>
      </c>
      <c r="W33" s="15">
        <f t="shared" si="21"/>
        <v>13.679697979646962</v>
      </c>
    </row>
    <row r="34" spans="1:27">
      <c r="A34" s="1" t="s">
        <v>74</v>
      </c>
      <c r="C34" s="15">
        <f>+C33</f>
        <v>8.5769207999999999</v>
      </c>
      <c r="D34" s="15">
        <f t="shared" ref="D34:W34" si="22">+C34+D33</f>
        <v>17.225441273812436</v>
      </c>
      <c r="E34" s="15">
        <f t="shared" si="22"/>
        <v>25.95530939643433</v>
      </c>
      <c r="F34" s="15">
        <f t="shared" si="22"/>
        <v>34.777258612426188</v>
      </c>
      <c r="G34" s="15">
        <f t="shared" si="22"/>
        <v>43.703108244044216</v>
      </c>
      <c r="H34" s="15">
        <f t="shared" si="22"/>
        <v>52.745874127406374</v>
      </c>
      <c r="I34" s="15">
        <f t="shared" si="22"/>
        <v>61.919890518574043</v>
      </c>
      <c r="J34" s="15">
        <f t="shared" si="22"/>
        <v>71.240944417562929</v>
      </c>
      <c r="K34" s="15">
        <f t="shared" si="22"/>
        <v>80.726423575239338</v>
      </c>
      <c r="L34" s="15">
        <f t="shared" si="22"/>
        <v>90.395479576913331</v>
      </c>
      <c r="M34" s="15">
        <f t="shared" si="22"/>
        <v>100.26920753842107</v>
      </c>
      <c r="N34" s="15">
        <f t="shared" si="22"/>
        <v>110.37084410693268</v>
      </c>
      <c r="O34" s="15">
        <f t="shared" si="22"/>
        <v>120.72598563110219</v>
      </c>
      <c r="P34" s="15">
        <f t="shared" si="22"/>
        <v>131.36282855511575</v>
      </c>
      <c r="Q34" s="15">
        <f t="shared" si="22"/>
        <v>142.31243430048232</v>
      </c>
      <c r="R34" s="15">
        <f t="shared" si="22"/>
        <v>153.60902113001794</v>
      </c>
      <c r="S34" s="15">
        <f t="shared" si="22"/>
        <v>165.29028574257339</v>
      </c>
      <c r="T34" s="15">
        <f t="shared" si="22"/>
        <v>177.39775762703607</v>
      </c>
      <c r="U34" s="15">
        <f t="shared" si="22"/>
        <v>189.97718951263946</v>
      </c>
      <c r="V34" s="15">
        <f t="shared" si="22"/>
        <v>203.07898759254158</v>
      </c>
      <c r="W34" s="15">
        <f t="shared" si="22"/>
        <v>216.75868557218854</v>
      </c>
      <c r="X34" s="15"/>
      <c r="Y34" s="15"/>
      <c r="Z34" s="15"/>
      <c r="AA34" s="15"/>
    </row>
    <row r="35" spans="1:27">
      <c r="A35" s="26" t="s">
        <v>78</v>
      </c>
      <c r="C35" s="15">
        <f t="shared" ref="C35:W35" si="23">+C27+C33</f>
        <v>1.4466433800804595</v>
      </c>
      <c r="D35" s="15">
        <f t="shared" si="23"/>
        <v>1.5373262826643925</v>
      </c>
      <c r="E35" s="15">
        <f t="shared" si="23"/>
        <v>1.6319024316313291</v>
      </c>
      <c r="F35" s="15">
        <f t="shared" si="23"/>
        <v>1.7308626464364005</v>
      </c>
      <c r="G35" s="15">
        <f t="shared" si="23"/>
        <v>1.8347608483545956</v>
      </c>
      <c r="H35" s="15">
        <f t="shared" si="23"/>
        <v>1.9442219864118053</v>
      </c>
      <c r="I35" s="15">
        <f t="shared" si="23"/>
        <v>2.0599509394501032</v>
      </c>
      <c r="J35" s="15">
        <f t="shared" si="23"/>
        <v>2.1827425127581428</v>
      </c>
      <c r="K35" s="15">
        <f t="shared" si="23"/>
        <v>2.3134926618998888</v>
      </c>
      <c r="L35" s="15">
        <f t="shared" si="23"/>
        <v>2.4532110922647989</v>
      </c>
      <c r="M35" s="15">
        <f t="shared" si="23"/>
        <v>2.6030354006385164</v>
      </c>
      <c r="N35" s="15">
        <f t="shared" si="23"/>
        <v>2.7642469449782112</v>
      </c>
      <c r="O35" s="15">
        <f t="shared" si="23"/>
        <v>2.938288650818456</v>
      </c>
      <c r="P35" s="15">
        <f t="shared" si="23"/>
        <v>3.1267849876101099</v>
      </c>
      <c r="Q35" s="15">
        <f t="shared" si="23"/>
        <v>3.3315643761151037</v>
      </c>
      <c r="R35" s="15">
        <f t="shared" si="23"/>
        <v>3.5546843190915274</v>
      </c>
      <c r="S35" s="15">
        <f t="shared" si="23"/>
        <v>3.7984595822913167</v>
      </c>
      <c r="T35" s="15">
        <f t="shared" si="23"/>
        <v>4.0654937916898106</v>
      </c>
      <c r="U35" s="15">
        <f t="shared" si="23"/>
        <v>4.3587148563543483</v>
      </c>
      <c r="V35" s="15">
        <f t="shared" si="23"/>
        <v>4.6814146749759011</v>
      </c>
      <c r="W35" s="15">
        <f t="shared" si="23"/>
        <v>5.037293638435461</v>
      </c>
    </row>
    <row r="36" spans="1:27">
      <c r="A36" s="1" t="s">
        <v>74</v>
      </c>
      <c r="C36" s="15">
        <f>+C35</f>
        <v>1.4466433800804595</v>
      </c>
      <c r="D36" s="15">
        <f t="shared" ref="D36:W36" si="24">+C36+D35</f>
        <v>2.983969662744852</v>
      </c>
      <c r="E36" s="15">
        <f t="shared" si="24"/>
        <v>4.6158720943761811</v>
      </c>
      <c r="F36" s="15">
        <f t="shared" si="24"/>
        <v>6.3467347408125816</v>
      </c>
      <c r="G36" s="15">
        <f t="shared" si="24"/>
        <v>8.1814955891671772</v>
      </c>
      <c r="H36" s="15">
        <f t="shared" si="24"/>
        <v>10.125717575578982</v>
      </c>
      <c r="I36" s="15">
        <f t="shared" si="24"/>
        <v>12.185668515029086</v>
      </c>
      <c r="J36" s="15">
        <f t="shared" si="24"/>
        <v>14.368411027787229</v>
      </c>
      <c r="K36" s="15">
        <f t="shared" si="24"/>
        <v>16.681903689687118</v>
      </c>
      <c r="L36" s="15">
        <f t="shared" si="24"/>
        <v>19.135114781951916</v>
      </c>
      <c r="M36" s="15">
        <f t="shared" si="24"/>
        <v>21.738150182590431</v>
      </c>
      <c r="N36" s="15">
        <f t="shared" si="24"/>
        <v>24.502397127568642</v>
      </c>
      <c r="O36" s="15">
        <f t="shared" si="24"/>
        <v>27.440685778387099</v>
      </c>
      <c r="P36" s="15">
        <f t="shared" si="24"/>
        <v>30.567470765997207</v>
      </c>
      <c r="Q36" s="15">
        <f t="shared" si="24"/>
        <v>33.899035142112311</v>
      </c>
      <c r="R36" s="15">
        <f t="shared" si="24"/>
        <v>37.453719461203839</v>
      </c>
      <c r="S36" s="15">
        <f t="shared" si="24"/>
        <v>41.252179043495154</v>
      </c>
      <c r="T36" s="15">
        <f t="shared" si="24"/>
        <v>45.317672835184965</v>
      </c>
      <c r="U36" s="15">
        <f t="shared" si="24"/>
        <v>49.676387691539311</v>
      </c>
      <c r="V36" s="15">
        <f t="shared" si="24"/>
        <v>54.357802366515216</v>
      </c>
      <c r="W36" s="15">
        <f t="shared" si="24"/>
        <v>59.395096004950673</v>
      </c>
      <c r="X36" s="15"/>
      <c r="Y36" s="15"/>
      <c r="Z36" s="15"/>
      <c r="AA36" s="15"/>
    </row>
    <row r="37" spans="1:27">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c r="A38" s="1" t="s">
        <v>79</v>
      </c>
      <c r="C38" s="8">
        <f t="shared" ref="C38:W38" si="25">+C18-C32</f>
        <v>18000</v>
      </c>
      <c r="D38" s="12">
        <f t="shared" si="25"/>
        <v>18540</v>
      </c>
      <c r="E38" s="12">
        <f t="shared" si="25"/>
        <v>19096.2</v>
      </c>
      <c r="F38" s="12">
        <f t="shared" si="25"/>
        <v>19669.086000000003</v>
      </c>
      <c r="G38" s="12">
        <f t="shared" si="25"/>
        <v>20259.158580000003</v>
      </c>
      <c r="H38" s="12">
        <f t="shared" si="25"/>
        <v>20866.933337400002</v>
      </c>
      <c r="I38" s="12">
        <f t="shared" si="25"/>
        <v>21492.941337521999</v>
      </c>
      <c r="J38" s="12">
        <f t="shared" si="25"/>
        <v>22137.72957764766</v>
      </c>
      <c r="K38" s="12">
        <f t="shared" si="25"/>
        <v>22801.861464977093</v>
      </c>
      <c r="L38" s="12">
        <f t="shared" si="25"/>
        <v>23485.917308926411</v>
      </c>
      <c r="M38" s="12">
        <f t="shared" si="25"/>
        <v>24190.494828194209</v>
      </c>
      <c r="N38" s="12">
        <f t="shared" si="25"/>
        <v>24916.209673040037</v>
      </c>
      <c r="O38" s="12">
        <f t="shared" si="25"/>
        <v>25663.695963231236</v>
      </c>
      <c r="P38" s="12">
        <f t="shared" si="25"/>
        <v>26433.606842128174</v>
      </c>
      <c r="Q38" s="12">
        <f t="shared" si="25"/>
        <v>27226.615047392021</v>
      </c>
      <c r="R38" s="12">
        <f t="shared" si="25"/>
        <v>28043.413498813781</v>
      </c>
      <c r="S38" s="12">
        <f t="shared" si="25"/>
        <v>28884.715903778197</v>
      </c>
      <c r="T38" s="12">
        <f t="shared" si="25"/>
        <v>29751.25738089154</v>
      </c>
      <c r="U38" s="12">
        <f t="shared" si="25"/>
        <v>30643.79510231829</v>
      </c>
      <c r="V38" s="12">
        <f t="shared" si="25"/>
        <v>31563.108955387841</v>
      </c>
      <c r="W38" s="12">
        <f t="shared" si="25"/>
        <v>32510.00222404948</v>
      </c>
    </row>
    <row r="39" spans="1:27">
      <c r="A39" s="1" t="s">
        <v>11</v>
      </c>
      <c r="C39" s="12">
        <f t="shared" ref="C39:W39" si="26">+C32/C38*100</f>
        <v>133.33333333333331</v>
      </c>
      <c r="D39" s="12">
        <f t="shared" si="26"/>
        <v>133.33333333333331</v>
      </c>
      <c r="E39" s="12">
        <f t="shared" si="26"/>
        <v>133.33333333333334</v>
      </c>
      <c r="F39" s="12">
        <f t="shared" si="26"/>
        <v>133.33333333333331</v>
      </c>
      <c r="G39" s="12">
        <f t="shared" si="26"/>
        <v>133.33333333333334</v>
      </c>
      <c r="H39" s="12">
        <f t="shared" si="26"/>
        <v>133.33333333333334</v>
      </c>
      <c r="I39" s="12">
        <f t="shared" si="26"/>
        <v>133.33333333333337</v>
      </c>
      <c r="J39" s="12">
        <f t="shared" si="26"/>
        <v>133.33333333333337</v>
      </c>
      <c r="K39" s="12">
        <f t="shared" si="26"/>
        <v>133.33333333333334</v>
      </c>
      <c r="L39" s="12">
        <f t="shared" si="26"/>
        <v>133.33333333333331</v>
      </c>
      <c r="M39" s="12">
        <f t="shared" si="26"/>
        <v>133.33333333333329</v>
      </c>
      <c r="N39" s="12">
        <f t="shared" si="26"/>
        <v>133.33333333333329</v>
      </c>
      <c r="O39" s="12">
        <f t="shared" si="26"/>
        <v>133.33333333333331</v>
      </c>
      <c r="P39" s="12">
        <f t="shared" si="26"/>
        <v>133.33333333333331</v>
      </c>
      <c r="Q39" s="12">
        <f t="shared" si="26"/>
        <v>133.33333333333331</v>
      </c>
      <c r="R39" s="12">
        <f t="shared" si="26"/>
        <v>133.33333333333331</v>
      </c>
      <c r="S39" s="12">
        <f t="shared" si="26"/>
        <v>133.33333333333331</v>
      </c>
      <c r="T39" s="12">
        <f t="shared" si="26"/>
        <v>133.33333333333331</v>
      </c>
      <c r="U39" s="12">
        <f t="shared" si="26"/>
        <v>133.33333333333331</v>
      </c>
      <c r="V39" s="12">
        <f t="shared" si="26"/>
        <v>133.33333333333331</v>
      </c>
      <c r="W39" s="12">
        <f t="shared" si="26"/>
        <v>133.33333333333331</v>
      </c>
    </row>
    <row r="40" spans="1:27">
      <c r="C40" s="12"/>
      <c r="D40" s="12"/>
      <c r="E40" s="12"/>
      <c r="F40" s="12"/>
      <c r="G40" s="12"/>
      <c r="H40" s="12"/>
      <c r="I40" s="12"/>
      <c r="J40" s="12"/>
      <c r="K40" s="12"/>
      <c r="L40" s="12"/>
      <c r="M40" s="12"/>
      <c r="N40" s="12"/>
      <c r="O40" s="12"/>
      <c r="P40" s="12"/>
      <c r="Q40" s="12"/>
      <c r="R40" s="12"/>
      <c r="S40" s="12"/>
      <c r="T40" s="12"/>
      <c r="U40" s="12"/>
      <c r="V40" s="12"/>
      <c r="W40" s="12"/>
    </row>
    <row r="41" spans="1:27">
      <c r="A41" s="1" t="s">
        <v>80</v>
      </c>
      <c r="C41" s="12"/>
      <c r="D41" s="12"/>
      <c r="E41" s="12"/>
      <c r="F41" s="12"/>
      <c r="G41" s="12"/>
      <c r="H41" s="12"/>
      <c r="I41" s="12"/>
      <c r="J41" s="12"/>
      <c r="K41" s="12"/>
      <c r="L41" s="12"/>
      <c r="M41" s="12"/>
      <c r="N41" s="12"/>
      <c r="O41" s="12"/>
      <c r="P41" s="12"/>
      <c r="Q41" s="12"/>
      <c r="R41" s="12"/>
      <c r="S41" s="12"/>
      <c r="T41" s="12"/>
      <c r="U41" s="12"/>
      <c r="V41" s="12"/>
      <c r="W41" s="12"/>
      <c r="Y41" s="1" t="s">
        <v>81</v>
      </c>
    </row>
    <row r="42" spans="1:27">
      <c r="A42" s="1" t="s">
        <v>65</v>
      </c>
      <c r="C42" s="12"/>
      <c r="D42" s="12">
        <f t="shared" ref="D42:W42" si="27">+D18</f>
        <v>43260</v>
      </c>
      <c r="E42" s="12">
        <f t="shared" si="27"/>
        <v>44557.8</v>
      </c>
      <c r="F42" s="12">
        <f t="shared" si="27"/>
        <v>45894.534000000007</v>
      </c>
      <c r="G42" s="12">
        <f t="shared" si="27"/>
        <v>47271.370020000009</v>
      </c>
      <c r="H42" s="12">
        <f t="shared" si="27"/>
        <v>48689.511120600007</v>
      </c>
      <c r="I42" s="12">
        <f t="shared" si="27"/>
        <v>50150.196454218007</v>
      </c>
      <c r="J42" s="12">
        <f t="shared" si="27"/>
        <v>51654.702347844548</v>
      </c>
      <c r="K42" s="12">
        <f t="shared" si="27"/>
        <v>53204.343418279888</v>
      </c>
      <c r="L42" s="12">
        <f t="shared" si="27"/>
        <v>54800.47372082829</v>
      </c>
      <c r="M42" s="12">
        <f t="shared" si="27"/>
        <v>56444.487932453143</v>
      </c>
      <c r="N42" s="12">
        <f t="shared" si="27"/>
        <v>58137.822570426739</v>
      </c>
      <c r="O42" s="12">
        <f t="shared" si="27"/>
        <v>59881.95724753954</v>
      </c>
      <c r="P42" s="12">
        <f t="shared" si="27"/>
        <v>61678.41596496573</v>
      </c>
      <c r="Q42" s="12">
        <f t="shared" si="27"/>
        <v>63528.768443914705</v>
      </c>
      <c r="R42" s="12">
        <f t="shared" si="27"/>
        <v>65434.631497232149</v>
      </c>
      <c r="S42" s="12">
        <f t="shared" si="27"/>
        <v>67397.670442149116</v>
      </c>
      <c r="T42" s="12">
        <f t="shared" si="27"/>
        <v>69419.600555413592</v>
      </c>
      <c r="U42" s="12">
        <f t="shared" si="27"/>
        <v>71502.188572076004</v>
      </c>
      <c r="V42" s="12">
        <f t="shared" si="27"/>
        <v>73647.254229238286</v>
      </c>
      <c r="W42" s="12">
        <f t="shared" si="27"/>
        <v>75856.671856115441</v>
      </c>
      <c r="X42" s="13">
        <f>SUM(D42:W42)</f>
        <v>1162412.4003932953</v>
      </c>
      <c r="Y42" s="13"/>
    </row>
    <row r="43" spans="1:27">
      <c r="A43" s="1" t="s">
        <v>82</v>
      </c>
      <c r="C43" s="12"/>
      <c r="D43" s="12">
        <f t="shared" ref="D43:W43" si="28">+D22-C22</f>
        <v>28000</v>
      </c>
      <c r="E43" s="12">
        <f t="shared" si="28"/>
        <v>29120</v>
      </c>
      <c r="F43" s="12">
        <f t="shared" si="28"/>
        <v>30284.800000000047</v>
      </c>
      <c r="G43" s="12">
        <f t="shared" si="28"/>
        <v>31496.192000000039</v>
      </c>
      <c r="H43" s="12">
        <f t="shared" si="28"/>
        <v>32756.039680000045</v>
      </c>
      <c r="I43" s="12">
        <f t="shared" si="28"/>
        <v>34066.281267200015</v>
      </c>
      <c r="J43" s="12">
        <f t="shared" si="28"/>
        <v>35428.932517888024</v>
      </c>
      <c r="K43" s="12">
        <f t="shared" si="28"/>
        <v>36846.089818603592</v>
      </c>
      <c r="L43" s="12">
        <f t="shared" si="28"/>
        <v>38319.93341134768</v>
      </c>
      <c r="M43" s="12">
        <f t="shared" si="28"/>
        <v>39852.730747801601</v>
      </c>
      <c r="N43" s="12">
        <f t="shared" si="28"/>
        <v>41446.839977713651</v>
      </c>
      <c r="O43" s="12">
        <f t="shared" si="28"/>
        <v>43104.713576822309</v>
      </c>
      <c r="P43" s="12">
        <f t="shared" si="28"/>
        <v>44828.90211989521</v>
      </c>
      <c r="Q43" s="12">
        <f t="shared" si="28"/>
        <v>46622.058204690926</v>
      </c>
      <c r="R43" s="12">
        <f t="shared" si="28"/>
        <v>48486.940532878507</v>
      </c>
      <c r="S43" s="12">
        <f t="shared" si="28"/>
        <v>50426.418154193787</v>
      </c>
      <c r="T43" s="12">
        <f t="shared" si="28"/>
        <v>52443.474880361464</v>
      </c>
      <c r="U43" s="12">
        <f t="shared" si="28"/>
        <v>54541.213875575922</v>
      </c>
      <c r="V43" s="12">
        <f t="shared" si="28"/>
        <v>56722.862430599052</v>
      </c>
      <c r="W43" s="12">
        <f t="shared" si="28"/>
        <v>58991.776927822968</v>
      </c>
      <c r="X43" s="13">
        <f>SUM(D43:W43)</f>
        <v>833786.20012339484</v>
      </c>
      <c r="Y43" s="13">
        <f>+X43-X42</f>
        <v>-328626.2002699005</v>
      </c>
      <c r="Z43" s="12">
        <f>+Y43/X43*100</f>
        <v>-39.413725031820626</v>
      </c>
      <c r="AA43" s="1" t="s">
        <v>11</v>
      </c>
    </row>
    <row r="44" spans="1:27">
      <c r="A44" s="1" t="s">
        <v>83</v>
      </c>
      <c r="C44" s="12"/>
      <c r="D44" s="12">
        <f t="shared" ref="D44:W44" si="29">+D43/D42*100</f>
        <v>64.724919093851128</v>
      </c>
      <c r="E44" s="12">
        <f t="shared" si="29"/>
        <v>65.353316366606961</v>
      </c>
      <c r="F44" s="12">
        <f t="shared" si="29"/>
        <v>65.987814583758592</v>
      </c>
      <c r="G44" s="12">
        <f t="shared" si="29"/>
        <v>66.62847297777563</v>
      </c>
      <c r="H44" s="12">
        <f t="shared" si="29"/>
        <v>67.275351356200659</v>
      </c>
      <c r="I44" s="12">
        <f t="shared" si="29"/>
        <v>67.928510107231659</v>
      </c>
      <c r="J44" s="12">
        <f t="shared" si="29"/>
        <v>68.588010205360135</v>
      </c>
      <c r="K44" s="12">
        <f t="shared" si="29"/>
        <v>69.25391321706276</v>
      </c>
      <c r="L44" s="12">
        <f t="shared" si="29"/>
        <v>69.926281306548688</v>
      </c>
      <c r="M44" s="12">
        <f t="shared" si="29"/>
        <v>70.605177241563737</v>
      </c>
      <c r="N44" s="12">
        <f t="shared" si="29"/>
        <v>71.290664399248811</v>
      </c>
      <c r="O44" s="12">
        <f t="shared" si="29"/>
        <v>71.982806772057231</v>
      </c>
      <c r="P44" s="12">
        <f t="shared" si="29"/>
        <v>72.681668973727696</v>
      </c>
      <c r="Q44" s="12">
        <f t="shared" si="29"/>
        <v>73.387316245317137</v>
      </c>
      <c r="R44" s="12">
        <f t="shared" si="29"/>
        <v>74.099814461291004</v>
      </c>
      <c r="S44" s="12">
        <f t="shared" si="29"/>
        <v>74.819230135672683</v>
      </c>
      <c r="T44" s="12">
        <f t="shared" si="29"/>
        <v>75.545630428251911</v>
      </c>
      <c r="U44" s="12">
        <f t="shared" si="29"/>
        <v>76.279083150856295</v>
      </c>
      <c r="V44" s="12">
        <f t="shared" si="29"/>
        <v>77.019656773680268</v>
      </c>
      <c r="W44" s="12">
        <f t="shared" si="29"/>
        <v>77.767420431677095</v>
      </c>
    </row>
    <row r="49" spans="1:27">
      <c r="A49" s="27" t="s">
        <v>84</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c r="A50" s="28" t="s">
        <v>85</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c r="A51" s="28" t="s">
        <v>86</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c r="A52" s="28" t="s">
        <v>87</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c r="A54" s="28" t="s">
        <v>88</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ht="15">
      <c r="A55" s="29"/>
    </row>
    <row r="56" spans="1:27">
      <c r="A56" s="30" t="s">
        <v>89</v>
      </c>
    </row>
    <row r="57" spans="1:27">
      <c r="A57" s="30" t="s">
        <v>90</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row>
    <row r="58" spans="1:27">
      <c r="A58" s="30" t="s">
        <v>91</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row>
  </sheetData>
  <sheetProtection selectLockedCells="1" selectUnlockedCells="1"/>
  <pageMargins left="0.78749999999999998" right="0.78749999999999998" top="1.0527777777777778" bottom="1.0527777777777778" header="0.78749999999999998" footer="0.78749999999999998"/>
  <pageSetup paperSize="9" firstPageNumber="0" orientation="landscape"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2"/>
  <sheetViews>
    <sheetView tabSelected="1" workbookViewId="0">
      <selection activeCell="B25" sqref="B25"/>
    </sheetView>
  </sheetViews>
  <sheetFormatPr defaultColWidth="11.5546875" defaultRowHeight="13.2"/>
  <cols>
    <col min="1" max="1" width="11.5546875" style="1"/>
    <col min="2" max="2" width="14.88671875" style="1" customWidth="1"/>
    <col min="3" max="3" width="12.6640625" style="1" customWidth="1"/>
    <col min="4" max="4" width="14.44140625" style="1" customWidth="1"/>
    <col min="5" max="5" width="11.6640625" style="1" customWidth="1"/>
    <col min="6" max="6" width="14.44140625" style="1" customWidth="1"/>
    <col min="7" max="7" width="11.5546875" style="1"/>
    <col min="8" max="8" width="13.44140625" style="1" customWidth="1"/>
    <col min="9" max="16384" width="11.5546875" style="1"/>
  </cols>
  <sheetData>
    <row r="1" spans="1:7">
      <c r="A1" s="3" t="s">
        <v>92</v>
      </c>
      <c r="F1" s="2"/>
      <c r="G1" s="2"/>
    </row>
    <row r="2" spans="1:7">
      <c r="A2" s="3" t="s">
        <v>93</v>
      </c>
      <c r="F2" s="2"/>
      <c r="G2" s="2"/>
    </row>
    <row r="3" spans="1:7">
      <c r="A3" s="3"/>
      <c r="F3" s="2"/>
      <c r="G3" s="2"/>
    </row>
    <row r="4" spans="1:7">
      <c r="A4" s="3"/>
      <c r="F4" s="2"/>
      <c r="G4" s="2"/>
    </row>
    <row r="5" spans="1:7">
      <c r="A5" s="3" t="s">
        <v>94</v>
      </c>
      <c r="F5" s="2"/>
      <c r="G5" s="2"/>
    </row>
    <row r="6" spans="1:7">
      <c r="F6" s="2"/>
      <c r="G6" s="2"/>
    </row>
    <row r="7" spans="1:7">
      <c r="A7" s="1" t="s">
        <v>95</v>
      </c>
      <c r="B7" s="1" t="s">
        <v>96</v>
      </c>
      <c r="F7" s="2"/>
      <c r="G7" s="2"/>
    </row>
    <row r="8" spans="1:7">
      <c r="B8" s="1" t="s">
        <v>97</v>
      </c>
      <c r="F8" s="2"/>
      <c r="G8" s="2"/>
    </row>
    <row r="9" spans="1:7">
      <c r="B9" s="1" t="s">
        <v>98</v>
      </c>
      <c r="F9" s="2"/>
      <c r="G9" s="2"/>
    </row>
    <row r="10" spans="1:7">
      <c r="A10" s="31"/>
      <c r="B10" s="1" t="s">
        <v>99</v>
      </c>
      <c r="F10" s="2"/>
      <c r="G10" s="2"/>
    </row>
    <row r="11" spans="1:7">
      <c r="A11" s="1" t="s">
        <v>100</v>
      </c>
      <c r="B11" s="1" t="s">
        <v>101</v>
      </c>
      <c r="F11" s="2"/>
      <c r="G11" s="2"/>
    </row>
    <row r="12" spans="1:7">
      <c r="C12" s="1" t="s">
        <v>102</v>
      </c>
      <c r="F12" s="2"/>
      <c r="G12" s="2"/>
    </row>
    <row r="13" spans="1:7">
      <c r="B13" s="1" t="s">
        <v>103</v>
      </c>
      <c r="F13" s="2"/>
      <c r="G13" s="2"/>
    </row>
    <row r="14" spans="1:7">
      <c r="B14" s="16" t="s">
        <v>104</v>
      </c>
      <c r="F14" s="2"/>
      <c r="G14" s="2"/>
    </row>
    <row r="15" spans="1:7">
      <c r="A15" s="1" t="s">
        <v>105</v>
      </c>
      <c r="B15" s="17" t="s">
        <v>106</v>
      </c>
      <c r="C15" s="17"/>
      <c r="F15" s="2"/>
      <c r="G15" s="2"/>
    </row>
    <row r="16" spans="1:7">
      <c r="B16" s="17"/>
      <c r="C16" s="17"/>
      <c r="F16" s="2"/>
      <c r="G16" s="2"/>
    </row>
    <row r="17" spans="1:7">
      <c r="B17" s="17" t="s">
        <v>107</v>
      </c>
      <c r="C17" s="17"/>
      <c r="F17" s="2"/>
      <c r="G17" s="2"/>
    </row>
    <row r="18" spans="1:7">
      <c r="B18" s="17" t="s">
        <v>108</v>
      </c>
      <c r="C18" s="17"/>
      <c r="F18" s="2"/>
      <c r="G18" s="2"/>
    </row>
    <row r="19" spans="1:7">
      <c r="B19" s="17" t="s">
        <v>109</v>
      </c>
      <c r="C19" s="17"/>
      <c r="F19" s="2"/>
      <c r="G19" s="2"/>
    </row>
    <row r="20" spans="1:7">
      <c r="B20" s="17"/>
      <c r="C20" s="17"/>
      <c r="F20" s="2"/>
      <c r="G20" s="2"/>
    </row>
    <row r="21" spans="1:7">
      <c r="B21" s="16" t="s">
        <v>104</v>
      </c>
      <c r="F21" s="2"/>
      <c r="G21" s="2"/>
    </row>
    <row r="22" spans="1:7">
      <c r="A22" s="1" t="s">
        <v>110</v>
      </c>
      <c r="B22" s="1" t="s">
        <v>111</v>
      </c>
      <c r="F22" s="2"/>
      <c r="G22" s="2"/>
    </row>
    <row r="23" spans="1:7">
      <c r="B23" s="1" t="s">
        <v>112</v>
      </c>
      <c r="F23" s="2"/>
      <c r="G23" s="2"/>
    </row>
    <row r="24" spans="1:7">
      <c r="C24" s="1" t="s">
        <v>113</v>
      </c>
      <c r="F24" s="2"/>
      <c r="G24" s="2"/>
    </row>
    <row r="25" spans="1:7">
      <c r="F25" s="2"/>
      <c r="G25" s="2"/>
    </row>
    <row r="26" spans="1:7">
      <c r="B26" s="16" t="s">
        <v>114</v>
      </c>
      <c r="F26" s="2"/>
      <c r="G26" s="2"/>
    </row>
    <row r="27" spans="1:7">
      <c r="F27" s="2"/>
      <c r="G27" s="2"/>
    </row>
    <row r="28" spans="1:7">
      <c r="B28" s="1" t="s">
        <v>115</v>
      </c>
      <c r="F28" s="2"/>
      <c r="G28" s="2"/>
    </row>
    <row r="29" spans="1:7">
      <c r="B29" s="1" t="s">
        <v>116</v>
      </c>
      <c r="F29" s="2"/>
      <c r="G29" s="2"/>
    </row>
    <row r="30" spans="1:7">
      <c r="B30" s="1" t="s">
        <v>117</v>
      </c>
      <c r="F30" s="2"/>
      <c r="G30" s="2"/>
    </row>
    <row r="31" spans="1:7">
      <c r="B31" s="1" t="s">
        <v>118</v>
      </c>
      <c r="F31" s="2"/>
      <c r="G31" s="2"/>
    </row>
    <row r="32" spans="1:7">
      <c r="F32" s="2"/>
      <c r="G32" s="2"/>
    </row>
    <row r="33" spans="1:9">
      <c r="B33" s="16" t="s">
        <v>119</v>
      </c>
      <c r="E33" s="1" t="s">
        <v>120</v>
      </c>
      <c r="F33" s="2"/>
      <c r="G33" s="2"/>
    </row>
    <row r="34" spans="1:9">
      <c r="B34" s="16"/>
      <c r="F34" s="2"/>
      <c r="G34" s="2"/>
    </row>
    <row r="35" spans="1:9">
      <c r="B35" s="16" t="s">
        <v>121</v>
      </c>
      <c r="F35" s="2"/>
      <c r="G35" s="2"/>
    </row>
    <row r="36" spans="1:9">
      <c r="B36" s="16" t="s">
        <v>122</v>
      </c>
      <c r="F36" s="2"/>
      <c r="G36" s="2"/>
    </row>
    <row r="37" spans="1:9">
      <c r="B37" s="16" t="s">
        <v>123</v>
      </c>
      <c r="F37" s="2"/>
      <c r="G37" s="2"/>
    </row>
    <row r="38" spans="1:9">
      <c r="B38" s="16" t="s">
        <v>124</v>
      </c>
      <c r="F38" s="2"/>
      <c r="G38" s="2"/>
    </row>
    <row r="39" spans="1:9">
      <c r="B39" s="16" t="s">
        <v>125</v>
      </c>
      <c r="F39" s="2"/>
      <c r="G39" s="2"/>
    </row>
    <row r="40" spans="1:9">
      <c r="B40" s="16"/>
      <c r="F40" s="2"/>
      <c r="G40" s="2"/>
    </row>
    <row r="41" spans="1:9">
      <c r="B41" s="16"/>
      <c r="F41" s="2"/>
      <c r="G41" s="2"/>
    </row>
    <row r="42" spans="1:9">
      <c r="A42" s="16" t="s">
        <v>126</v>
      </c>
      <c r="C42"/>
      <c r="F42" s="2"/>
      <c r="G42" s="2"/>
    </row>
    <row r="43" spans="1:9">
      <c r="A43" s="16" t="s">
        <v>127</v>
      </c>
      <c r="F43" s="2"/>
      <c r="G43" s="2"/>
    </row>
    <row r="44" spans="1:9">
      <c r="F44" s="2"/>
      <c r="G44" s="2"/>
    </row>
    <row r="45" spans="1:9">
      <c r="A45" s="2" t="s">
        <v>8</v>
      </c>
      <c r="F45" s="2"/>
      <c r="G45" s="2"/>
    </row>
    <row r="46" spans="1:9">
      <c r="A46" s="32" t="s">
        <v>25</v>
      </c>
      <c r="B46" s="33" t="s">
        <v>26</v>
      </c>
      <c r="C46" s="33" t="s">
        <v>128</v>
      </c>
      <c r="D46" s="33" t="s">
        <v>36</v>
      </c>
      <c r="E46" s="33" t="s">
        <v>37</v>
      </c>
      <c r="F46" s="33"/>
      <c r="G46" s="33" t="s">
        <v>129</v>
      </c>
      <c r="H46" s="6" t="s">
        <v>38</v>
      </c>
      <c r="I46" s="6" t="s">
        <v>130</v>
      </c>
    </row>
    <row r="47" spans="1:9">
      <c r="A47" s="3"/>
      <c r="B47" s="2"/>
      <c r="C47" s="2"/>
      <c r="D47" s="2"/>
      <c r="E47" s="2"/>
      <c r="F47" s="2"/>
      <c r="G47" s="10">
        <v>0.01</v>
      </c>
    </row>
    <row r="48" spans="1:9">
      <c r="A48" s="3">
        <v>1</v>
      </c>
      <c r="B48" s="7">
        <v>1000000</v>
      </c>
      <c r="C48" s="10">
        <v>1.05</v>
      </c>
      <c r="D48" s="11">
        <f t="shared" ref="D48:D62" si="0">+B48*$C$48</f>
        <v>1050000</v>
      </c>
      <c r="E48" s="11">
        <f t="shared" ref="E48:E62" si="1">+D48-B48</f>
        <v>50000</v>
      </c>
      <c r="F48" s="2"/>
      <c r="G48" s="12">
        <f t="shared" ref="G48:G72" si="2">B48*$G$47</f>
        <v>10000</v>
      </c>
      <c r="H48" s="8">
        <f t="shared" ref="H48:H72" si="3">+D48-G48</f>
        <v>1040000</v>
      </c>
    </row>
    <row r="49" spans="1:9">
      <c r="A49" s="3">
        <v>2</v>
      </c>
      <c r="B49" s="11">
        <f>+D48</f>
        <v>1050000</v>
      </c>
      <c r="D49" s="11">
        <f t="shared" si="0"/>
        <v>1102500</v>
      </c>
      <c r="E49" s="11">
        <f t="shared" si="1"/>
        <v>52500</v>
      </c>
      <c r="F49" s="2"/>
      <c r="G49" s="12">
        <f t="shared" si="2"/>
        <v>10500</v>
      </c>
      <c r="H49" s="12">
        <f t="shared" si="3"/>
        <v>1092000</v>
      </c>
      <c r="I49" s="34">
        <f t="shared" ref="I49:I72" si="4">(H49/H48)-1</f>
        <v>5.0000000000000044E-2</v>
      </c>
    </row>
    <row r="50" spans="1:9">
      <c r="A50" s="3">
        <v>3</v>
      </c>
      <c r="B50" s="11">
        <f t="shared" ref="B50:B72" si="5">+B49*$C$48</f>
        <v>1102500</v>
      </c>
      <c r="C50" s="11"/>
      <c r="D50" s="11">
        <f t="shared" si="0"/>
        <v>1157625</v>
      </c>
      <c r="E50" s="11">
        <f t="shared" si="1"/>
        <v>55125</v>
      </c>
      <c r="F50" s="2"/>
      <c r="G50" s="12">
        <f t="shared" si="2"/>
        <v>11025</v>
      </c>
      <c r="H50" s="12">
        <f t="shared" si="3"/>
        <v>1146600</v>
      </c>
      <c r="I50" s="34">
        <f t="shared" si="4"/>
        <v>5.0000000000000044E-2</v>
      </c>
    </row>
    <row r="51" spans="1:9">
      <c r="A51" s="3">
        <v>4</v>
      </c>
      <c r="B51" s="11">
        <f t="shared" si="5"/>
        <v>1157625</v>
      </c>
      <c r="C51" s="11"/>
      <c r="D51" s="11">
        <f t="shared" si="0"/>
        <v>1215506.25</v>
      </c>
      <c r="E51" s="11">
        <f t="shared" si="1"/>
        <v>57881.25</v>
      </c>
      <c r="F51" s="2"/>
      <c r="G51" s="12">
        <f t="shared" si="2"/>
        <v>11576.25</v>
      </c>
      <c r="H51" s="12">
        <f t="shared" si="3"/>
        <v>1203930</v>
      </c>
      <c r="I51" s="34">
        <f t="shared" si="4"/>
        <v>5.0000000000000044E-2</v>
      </c>
    </row>
    <row r="52" spans="1:9">
      <c r="A52" s="3">
        <v>5</v>
      </c>
      <c r="B52" s="11">
        <f t="shared" si="5"/>
        <v>1215506.25</v>
      </c>
      <c r="C52" s="11"/>
      <c r="D52" s="11">
        <f t="shared" si="0"/>
        <v>1276281.5625</v>
      </c>
      <c r="E52" s="11">
        <f t="shared" si="1"/>
        <v>60775.3125</v>
      </c>
      <c r="F52" s="2"/>
      <c r="G52" s="12">
        <f t="shared" si="2"/>
        <v>12155.0625</v>
      </c>
      <c r="H52" s="12">
        <f t="shared" si="3"/>
        <v>1264126.5</v>
      </c>
      <c r="I52" s="34">
        <f t="shared" si="4"/>
        <v>5.0000000000000044E-2</v>
      </c>
    </row>
    <row r="53" spans="1:9">
      <c r="A53" s="3">
        <v>6</v>
      </c>
      <c r="B53" s="11">
        <f t="shared" si="5"/>
        <v>1276281.5625</v>
      </c>
      <c r="C53" s="11"/>
      <c r="D53" s="11">
        <f t="shared" si="0"/>
        <v>1340095.640625</v>
      </c>
      <c r="E53" s="11">
        <f t="shared" si="1"/>
        <v>63814.078125</v>
      </c>
      <c r="F53" s="2"/>
      <c r="G53" s="12">
        <f t="shared" si="2"/>
        <v>12762.815625000001</v>
      </c>
      <c r="H53" s="12">
        <f t="shared" si="3"/>
        <v>1327332.825</v>
      </c>
      <c r="I53" s="34">
        <f t="shared" si="4"/>
        <v>5.0000000000000044E-2</v>
      </c>
    </row>
    <row r="54" spans="1:9">
      <c r="A54" s="3">
        <v>7</v>
      </c>
      <c r="B54" s="11">
        <f t="shared" si="5"/>
        <v>1340095.640625</v>
      </c>
      <c r="C54" s="11"/>
      <c r="D54" s="11">
        <f t="shared" si="0"/>
        <v>1407100.42265625</v>
      </c>
      <c r="E54" s="11">
        <f t="shared" si="1"/>
        <v>67004.782031249953</v>
      </c>
      <c r="F54" s="2"/>
      <c r="G54" s="12">
        <f t="shared" si="2"/>
        <v>13400.956406249999</v>
      </c>
      <c r="H54" s="12">
        <f t="shared" si="3"/>
        <v>1393699.4662500001</v>
      </c>
      <c r="I54" s="34">
        <f t="shared" si="4"/>
        <v>5.0000000000000044E-2</v>
      </c>
    </row>
    <row r="55" spans="1:9">
      <c r="A55" s="3">
        <v>8</v>
      </c>
      <c r="B55" s="11">
        <f t="shared" si="5"/>
        <v>1407100.42265625</v>
      </c>
      <c r="C55" s="11"/>
      <c r="D55" s="11">
        <f t="shared" si="0"/>
        <v>1477455.4437890626</v>
      </c>
      <c r="E55" s="11">
        <f t="shared" si="1"/>
        <v>70355.021132812602</v>
      </c>
      <c r="F55" s="2"/>
      <c r="G55" s="12">
        <f t="shared" si="2"/>
        <v>14071.0042265625</v>
      </c>
      <c r="H55" s="12">
        <f t="shared" si="3"/>
        <v>1463384.4395625</v>
      </c>
      <c r="I55" s="34">
        <f t="shared" si="4"/>
        <v>5.0000000000000044E-2</v>
      </c>
    </row>
    <row r="56" spans="1:9">
      <c r="A56" s="3">
        <v>9</v>
      </c>
      <c r="B56" s="11">
        <f t="shared" si="5"/>
        <v>1477455.4437890626</v>
      </c>
      <c r="C56" s="11"/>
      <c r="D56" s="11">
        <f t="shared" si="0"/>
        <v>1551328.2159785158</v>
      </c>
      <c r="E56" s="11">
        <f t="shared" si="1"/>
        <v>73872.772189453244</v>
      </c>
      <c r="F56" s="2"/>
      <c r="G56" s="12">
        <f t="shared" si="2"/>
        <v>14774.554437890625</v>
      </c>
      <c r="H56" s="12">
        <f t="shared" si="3"/>
        <v>1536553.6615406252</v>
      </c>
      <c r="I56" s="34">
        <f t="shared" si="4"/>
        <v>5.0000000000000044E-2</v>
      </c>
    </row>
    <row r="57" spans="1:9">
      <c r="A57" s="3">
        <v>10</v>
      </c>
      <c r="B57" s="11">
        <f t="shared" si="5"/>
        <v>1551328.2159785158</v>
      </c>
      <c r="C57" s="11"/>
      <c r="D57" s="11">
        <f t="shared" si="0"/>
        <v>1628894.6267774417</v>
      </c>
      <c r="E57" s="11">
        <f t="shared" si="1"/>
        <v>77566.410798925906</v>
      </c>
      <c r="F57" s="2"/>
      <c r="G57" s="12">
        <f t="shared" si="2"/>
        <v>15513.282159785158</v>
      </c>
      <c r="H57" s="12">
        <f t="shared" si="3"/>
        <v>1613381.3446176564</v>
      </c>
      <c r="I57" s="34">
        <f t="shared" si="4"/>
        <v>5.0000000000000044E-2</v>
      </c>
    </row>
    <row r="58" spans="1:9">
      <c r="A58" s="3">
        <v>11</v>
      </c>
      <c r="B58" s="11">
        <f t="shared" si="5"/>
        <v>1628894.6267774417</v>
      </c>
      <c r="C58" s="11"/>
      <c r="D58" s="11">
        <f t="shared" si="0"/>
        <v>1710339.3581163138</v>
      </c>
      <c r="E58" s="11">
        <f t="shared" si="1"/>
        <v>81444.731338872109</v>
      </c>
      <c r="F58" s="2"/>
      <c r="G58" s="12">
        <f t="shared" si="2"/>
        <v>16288.946267774418</v>
      </c>
      <c r="H58" s="12">
        <f t="shared" si="3"/>
        <v>1694050.4118485395</v>
      </c>
      <c r="I58" s="34">
        <f t="shared" si="4"/>
        <v>5.0000000000000044E-2</v>
      </c>
    </row>
    <row r="59" spans="1:9">
      <c r="A59" s="3">
        <v>12</v>
      </c>
      <c r="B59" s="11">
        <f t="shared" si="5"/>
        <v>1710339.3581163138</v>
      </c>
      <c r="C59" s="11"/>
      <c r="D59" s="11">
        <f t="shared" si="0"/>
        <v>1795856.3260221295</v>
      </c>
      <c r="E59" s="11">
        <f t="shared" si="1"/>
        <v>85516.967905815691</v>
      </c>
      <c r="F59" s="2"/>
      <c r="G59" s="12">
        <f t="shared" si="2"/>
        <v>17103.393581163138</v>
      </c>
      <c r="H59" s="12">
        <f t="shared" si="3"/>
        <v>1778752.9324409664</v>
      </c>
      <c r="I59" s="34">
        <f t="shared" si="4"/>
        <v>5.0000000000000044E-2</v>
      </c>
    </row>
    <row r="60" spans="1:9">
      <c r="A60" s="3">
        <v>13</v>
      </c>
      <c r="B60" s="11">
        <f t="shared" si="5"/>
        <v>1795856.3260221295</v>
      </c>
      <c r="C60" s="11"/>
      <c r="D60" s="11">
        <f t="shared" si="0"/>
        <v>1885649.142323236</v>
      </c>
      <c r="E60" s="11">
        <f t="shared" si="1"/>
        <v>89792.816301106475</v>
      </c>
      <c r="F60" s="2"/>
      <c r="G60" s="12">
        <f t="shared" si="2"/>
        <v>17958.563260221297</v>
      </c>
      <c r="H60" s="12">
        <f t="shared" si="3"/>
        <v>1867690.5790630146</v>
      </c>
      <c r="I60" s="34">
        <f t="shared" si="4"/>
        <v>5.0000000000000044E-2</v>
      </c>
    </row>
    <row r="61" spans="1:9">
      <c r="A61" s="3">
        <v>14</v>
      </c>
      <c r="B61" s="11">
        <f t="shared" si="5"/>
        <v>1885649.142323236</v>
      </c>
      <c r="C61" s="11"/>
      <c r="D61" s="11">
        <f t="shared" si="0"/>
        <v>1979931.5994393979</v>
      </c>
      <c r="E61" s="11">
        <f t="shared" si="1"/>
        <v>94282.457116161939</v>
      </c>
      <c r="F61" s="2"/>
      <c r="G61" s="12">
        <f t="shared" si="2"/>
        <v>18856.491423232361</v>
      </c>
      <c r="H61" s="12">
        <f t="shared" si="3"/>
        <v>1961075.1080161657</v>
      </c>
      <c r="I61" s="34">
        <f t="shared" si="4"/>
        <v>5.0000000000000266E-2</v>
      </c>
    </row>
    <row r="62" spans="1:9">
      <c r="A62" s="3">
        <v>15</v>
      </c>
      <c r="B62" s="11">
        <f t="shared" si="5"/>
        <v>1979931.5994393979</v>
      </c>
      <c r="C62" s="11"/>
      <c r="D62" s="11">
        <f t="shared" si="0"/>
        <v>2078928.179411368</v>
      </c>
      <c r="E62" s="11">
        <f t="shared" si="1"/>
        <v>98996.579971970059</v>
      </c>
      <c r="F62" s="11"/>
      <c r="G62" s="12">
        <f t="shared" si="2"/>
        <v>19799.315994393979</v>
      </c>
      <c r="H62" s="12">
        <f t="shared" si="3"/>
        <v>2059128.863416974</v>
      </c>
      <c r="I62" s="34">
        <f t="shared" si="4"/>
        <v>5.0000000000000044E-2</v>
      </c>
    </row>
    <row r="63" spans="1:9">
      <c r="A63" s="3">
        <v>16</v>
      </c>
      <c r="B63" s="11">
        <f t="shared" si="5"/>
        <v>2078928.179411368</v>
      </c>
      <c r="C63" s="11"/>
      <c r="D63" s="11">
        <f t="shared" ref="D63:D72" si="6">+D62*$C$48</f>
        <v>2182874.5883819363</v>
      </c>
      <c r="E63" s="11">
        <f t="shared" ref="E63:E72" si="7">+E62*$C$48</f>
        <v>103946.40897056856</v>
      </c>
      <c r="F63" s="2"/>
      <c r="G63" s="12">
        <f t="shared" si="2"/>
        <v>20789.281794113682</v>
      </c>
      <c r="H63" s="12">
        <f t="shared" si="3"/>
        <v>2162085.3065878227</v>
      </c>
      <c r="I63" s="34">
        <f t="shared" si="4"/>
        <v>5.0000000000000044E-2</v>
      </c>
    </row>
    <row r="64" spans="1:9">
      <c r="A64" s="3">
        <v>17</v>
      </c>
      <c r="B64" s="11">
        <f t="shared" si="5"/>
        <v>2182874.5883819363</v>
      </c>
      <c r="C64" s="11"/>
      <c r="D64" s="11">
        <f t="shared" si="6"/>
        <v>2292018.3178010331</v>
      </c>
      <c r="E64" s="11">
        <f t="shared" si="7"/>
        <v>109143.729419097</v>
      </c>
      <c r="F64" s="2"/>
      <c r="G64" s="12">
        <f t="shared" si="2"/>
        <v>21828.745883819363</v>
      </c>
      <c r="H64" s="12">
        <f t="shared" si="3"/>
        <v>2270189.571917214</v>
      </c>
      <c r="I64" s="34">
        <f t="shared" si="4"/>
        <v>5.0000000000000044E-2</v>
      </c>
    </row>
    <row r="65" spans="1:12">
      <c r="A65" s="3">
        <v>18</v>
      </c>
      <c r="B65" s="11">
        <f t="shared" si="5"/>
        <v>2292018.3178010331</v>
      </c>
      <c r="C65" s="11"/>
      <c r="D65" s="11">
        <f t="shared" si="6"/>
        <v>2406619.2336910851</v>
      </c>
      <c r="E65" s="11">
        <f t="shared" si="7"/>
        <v>114600.91589005185</v>
      </c>
      <c r="F65" s="2"/>
      <c r="G65" s="12">
        <f t="shared" si="2"/>
        <v>22920.183178010331</v>
      </c>
      <c r="H65" s="12">
        <f t="shared" si="3"/>
        <v>2383699.0505130747</v>
      </c>
      <c r="I65" s="34">
        <f t="shared" si="4"/>
        <v>5.0000000000000044E-2</v>
      </c>
    </row>
    <row r="66" spans="1:12">
      <c r="A66" s="3">
        <v>19</v>
      </c>
      <c r="B66" s="11">
        <f t="shared" si="5"/>
        <v>2406619.2336910851</v>
      </c>
      <c r="C66" s="11"/>
      <c r="D66" s="11">
        <f t="shared" si="6"/>
        <v>2526950.1953756395</v>
      </c>
      <c r="E66" s="11">
        <f t="shared" si="7"/>
        <v>120330.96168455445</v>
      </c>
      <c r="F66" s="2"/>
      <c r="G66" s="12">
        <f t="shared" si="2"/>
        <v>24066.192336910852</v>
      </c>
      <c r="H66" s="12">
        <f t="shared" si="3"/>
        <v>2502884.0030387286</v>
      </c>
      <c r="I66" s="34">
        <f t="shared" si="4"/>
        <v>5.0000000000000044E-2</v>
      </c>
    </row>
    <row r="67" spans="1:12">
      <c r="A67" s="3">
        <v>20</v>
      </c>
      <c r="B67" s="11">
        <f t="shared" si="5"/>
        <v>2526950.1953756395</v>
      </c>
      <c r="C67" s="11"/>
      <c r="D67" s="11">
        <f t="shared" si="6"/>
        <v>2653297.7051444217</v>
      </c>
      <c r="E67" s="11">
        <f t="shared" si="7"/>
        <v>126347.50976878218</v>
      </c>
      <c r="F67" s="2"/>
      <c r="G67" s="12">
        <f t="shared" si="2"/>
        <v>25269.501953756397</v>
      </c>
      <c r="H67" s="12">
        <f t="shared" si="3"/>
        <v>2628028.2031906652</v>
      </c>
      <c r="I67" s="34">
        <f t="shared" si="4"/>
        <v>5.0000000000000044E-2</v>
      </c>
    </row>
    <row r="68" spans="1:12">
      <c r="A68" s="35">
        <f>+A67*$C$48</f>
        <v>21</v>
      </c>
      <c r="B68" s="11">
        <f t="shared" si="5"/>
        <v>2653297.7051444217</v>
      </c>
      <c r="C68" s="11"/>
      <c r="D68" s="11">
        <f t="shared" si="6"/>
        <v>2785962.590401643</v>
      </c>
      <c r="E68" s="11">
        <f t="shared" si="7"/>
        <v>132664.88525722129</v>
      </c>
      <c r="F68" s="2"/>
      <c r="G68" s="12">
        <f t="shared" si="2"/>
        <v>26532.977051444217</v>
      </c>
      <c r="H68" s="12">
        <f t="shared" si="3"/>
        <v>2759429.6133501986</v>
      </c>
      <c r="I68" s="34">
        <f t="shared" si="4"/>
        <v>5.0000000000000044E-2</v>
      </c>
    </row>
    <row r="69" spans="1:12">
      <c r="A69" s="35">
        <f>+A68*$C$48</f>
        <v>22.05</v>
      </c>
      <c r="B69" s="11">
        <f t="shared" si="5"/>
        <v>2785962.590401643</v>
      </c>
      <c r="C69" s="11"/>
      <c r="D69" s="11">
        <f t="shared" si="6"/>
        <v>2925260.7199217253</v>
      </c>
      <c r="E69" s="11">
        <f t="shared" si="7"/>
        <v>139298.12952008235</v>
      </c>
      <c r="F69" s="2"/>
      <c r="G69" s="12">
        <f t="shared" si="2"/>
        <v>27859.62590401643</v>
      </c>
      <c r="H69" s="12">
        <f t="shared" si="3"/>
        <v>2897401.0940177087</v>
      </c>
      <c r="I69" s="34">
        <f t="shared" si="4"/>
        <v>5.0000000000000044E-2</v>
      </c>
    </row>
    <row r="70" spans="1:12">
      <c r="A70" s="35">
        <f>+A69*$C$48</f>
        <v>23.152500000000003</v>
      </c>
      <c r="B70" s="11">
        <f t="shared" si="5"/>
        <v>2925260.7199217253</v>
      </c>
      <c r="C70" s="11"/>
      <c r="D70" s="11">
        <f t="shared" si="6"/>
        <v>3071523.7559178118</v>
      </c>
      <c r="E70" s="11">
        <f t="shared" si="7"/>
        <v>146263.03599608649</v>
      </c>
      <c r="F70" s="2"/>
      <c r="G70" s="12">
        <f t="shared" si="2"/>
        <v>29252.607199217255</v>
      </c>
      <c r="H70" s="12">
        <f t="shared" si="3"/>
        <v>3042271.1487185946</v>
      </c>
      <c r="I70" s="34">
        <f t="shared" si="4"/>
        <v>5.0000000000000266E-2</v>
      </c>
    </row>
    <row r="71" spans="1:12">
      <c r="A71" s="35">
        <f>+A70*$C$48</f>
        <v>24.310125000000003</v>
      </c>
      <c r="B71" s="11">
        <f t="shared" si="5"/>
        <v>3071523.7559178118</v>
      </c>
      <c r="C71" s="11"/>
      <c r="D71" s="11">
        <f t="shared" si="6"/>
        <v>3225099.9437137023</v>
      </c>
      <c r="E71" s="11">
        <f t="shared" si="7"/>
        <v>153576.18779589082</v>
      </c>
      <c r="F71" s="2"/>
      <c r="G71" s="12">
        <f t="shared" si="2"/>
        <v>30715.237559178116</v>
      </c>
      <c r="H71" s="12">
        <f t="shared" si="3"/>
        <v>3194384.7061545243</v>
      </c>
      <c r="I71" s="34">
        <f t="shared" si="4"/>
        <v>5.0000000000000044E-2</v>
      </c>
    </row>
    <row r="72" spans="1:12">
      <c r="A72" s="35">
        <v>25</v>
      </c>
      <c r="B72" s="11">
        <f t="shared" si="5"/>
        <v>3225099.9437137023</v>
      </c>
      <c r="C72" s="11"/>
      <c r="D72" s="11">
        <f t="shared" si="6"/>
        <v>3386354.9408993875</v>
      </c>
      <c r="E72" s="11">
        <f t="shared" si="7"/>
        <v>161254.99718568535</v>
      </c>
      <c r="F72" s="36"/>
      <c r="G72" s="12">
        <f t="shared" si="2"/>
        <v>32250.999437137023</v>
      </c>
      <c r="H72" s="12">
        <f t="shared" si="3"/>
        <v>3354103.9414622504</v>
      </c>
      <c r="I72" s="34">
        <f t="shared" si="4"/>
        <v>5.0000000000000044E-2</v>
      </c>
    </row>
    <row r="76" spans="1:12">
      <c r="A76" s="16" t="s">
        <v>131</v>
      </c>
    </row>
    <row r="77" spans="1:12">
      <c r="A77" s="16" t="s">
        <v>132</v>
      </c>
      <c r="G77" s="37"/>
    </row>
    <row r="78" spans="1:12">
      <c r="A78" s="16" t="s">
        <v>133</v>
      </c>
      <c r="G78" s="37"/>
    </row>
    <row r="79" spans="1:12">
      <c r="A79" s="16" t="s">
        <v>134</v>
      </c>
      <c r="G79" s="37"/>
    </row>
    <row r="80" spans="1:12">
      <c r="A80" s="1" t="s">
        <v>135</v>
      </c>
      <c r="G80" s="37" t="s">
        <v>136</v>
      </c>
      <c r="I80" s="6"/>
      <c r="J80" s="6"/>
      <c r="L80" s="6"/>
    </row>
    <row r="81" spans="1:11">
      <c r="A81" s="8">
        <f>B48</f>
        <v>1000000</v>
      </c>
      <c r="C81" s="6" t="s">
        <v>27</v>
      </c>
      <c r="G81" s="38"/>
      <c r="I81" s="6"/>
      <c r="J81" s="6"/>
    </row>
    <row r="82" spans="1:11">
      <c r="A82" s="6" t="s">
        <v>137</v>
      </c>
      <c r="C82" s="6" t="s">
        <v>41</v>
      </c>
      <c r="G82" s="16"/>
      <c r="I82" s="6"/>
      <c r="J82" s="6"/>
      <c r="K82" s="6"/>
    </row>
    <row r="83" spans="1:11">
      <c r="A83" s="6" t="s">
        <v>39</v>
      </c>
      <c r="B83" s="6" t="s">
        <v>138</v>
      </c>
      <c r="C83" s="5">
        <v>1.02</v>
      </c>
      <c r="D83" s="6" t="s">
        <v>42</v>
      </c>
      <c r="E83" s="6" t="s">
        <v>135</v>
      </c>
      <c r="F83" s="6" t="s">
        <v>38</v>
      </c>
      <c r="G83" s="16"/>
      <c r="H83" s="13"/>
    </row>
    <row r="84" spans="1:11">
      <c r="A84" s="5">
        <v>0.06</v>
      </c>
      <c r="B84" s="39">
        <f>B48*$A$84</f>
        <v>60000</v>
      </c>
      <c r="D84" s="8">
        <f>B84</f>
        <v>60000</v>
      </c>
      <c r="E84" s="13">
        <f t="shared" ref="E84:E108" si="8">H48</f>
        <v>1040000</v>
      </c>
      <c r="F84" s="8">
        <f t="shared" ref="F84:F108" si="9">D48-D84</f>
        <v>990000</v>
      </c>
      <c r="G84" s="40">
        <f t="shared" ref="G84:G108" si="10">F84/D84</f>
        <v>16.5</v>
      </c>
      <c r="H84" s="13"/>
      <c r="I84" s="8"/>
      <c r="J84" s="13"/>
      <c r="K84" s="13"/>
    </row>
    <row r="85" spans="1:11">
      <c r="B85" s="13">
        <f t="shared" ref="B85:B108" si="11">B84*$C$83</f>
        <v>61200</v>
      </c>
      <c r="C85" s="8">
        <f t="shared" ref="C85:C108" si="12">((B85/B84)-1)*100</f>
        <v>2.0000000000000018</v>
      </c>
      <c r="D85" s="13">
        <f t="shared" ref="D85:D108" si="13">D84+B85</f>
        <v>121200</v>
      </c>
      <c r="E85" s="13">
        <f t="shared" si="8"/>
        <v>1092000</v>
      </c>
      <c r="F85" s="13">
        <f t="shared" si="9"/>
        <v>981300</v>
      </c>
      <c r="G85" s="40">
        <f t="shared" si="10"/>
        <v>8.096534653465346</v>
      </c>
      <c r="H85" s="13"/>
      <c r="I85" s="13"/>
      <c r="J85" s="13"/>
      <c r="K85" s="13"/>
    </row>
    <row r="86" spans="1:11">
      <c r="B86" s="13">
        <f t="shared" si="11"/>
        <v>62424</v>
      </c>
      <c r="C86" s="8">
        <f t="shared" si="12"/>
        <v>2.0000000000000018</v>
      </c>
      <c r="D86" s="13">
        <f t="shared" si="13"/>
        <v>183624</v>
      </c>
      <c r="E86" s="13">
        <f t="shared" si="8"/>
        <v>1146600</v>
      </c>
      <c r="F86" s="13">
        <f t="shared" si="9"/>
        <v>974001</v>
      </c>
      <c r="G86" s="40">
        <f t="shared" si="10"/>
        <v>5.3043229643183896</v>
      </c>
      <c r="H86" s="13"/>
      <c r="I86" s="13"/>
      <c r="J86" s="13"/>
      <c r="K86" s="13"/>
    </row>
    <row r="87" spans="1:11">
      <c r="B87" s="13">
        <f t="shared" si="11"/>
        <v>63672.480000000003</v>
      </c>
      <c r="C87" s="8">
        <f t="shared" si="12"/>
        <v>2.0000000000000018</v>
      </c>
      <c r="D87" s="13">
        <f t="shared" si="13"/>
        <v>247296.48</v>
      </c>
      <c r="E87" s="13">
        <f t="shared" si="8"/>
        <v>1203930</v>
      </c>
      <c r="F87" s="13">
        <f t="shared" si="9"/>
        <v>968209.77</v>
      </c>
      <c r="G87" s="40">
        <f t="shared" si="10"/>
        <v>3.915178129506736</v>
      </c>
      <c r="H87" s="13"/>
      <c r="I87" s="13"/>
      <c r="J87" s="13"/>
      <c r="K87" s="13"/>
    </row>
    <row r="88" spans="1:11">
      <c r="B88" s="13">
        <f t="shared" si="11"/>
        <v>64945.929600000003</v>
      </c>
      <c r="C88" s="8">
        <f t="shared" si="12"/>
        <v>2.0000000000000018</v>
      </c>
      <c r="D88" s="13">
        <f t="shared" si="13"/>
        <v>312242.40960000001</v>
      </c>
      <c r="E88" s="13">
        <f t="shared" si="8"/>
        <v>1264126.5</v>
      </c>
      <c r="F88" s="13">
        <f t="shared" si="9"/>
        <v>964039.15289999999</v>
      </c>
      <c r="G88" s="40">
        <f t="shared" si="10"/>
        <v>3.0874702579159186</v>
      </c>
      <c r="H88" s="13"/>
      <c r="I88" s="13"/>
      <c r="J88" s="13"/>
      <c r="K88" s="13"/>
    </row>
    <row r="89" spans="1:11">
      <c r="B89" s="13">
        <f t="shared" si="11"/>
        <v>66244.848192000005</v>
      </c>
      <c r="C89" s="8">
        <f t="shared" si="12"/>
        <v>2.0000000000000018</v>
      </c>
      <c r="D89" s="13">
        <f t="shared" si="13"/>
        <v>378487.25779200002</v>
      </c>
      <c r="E89" s="13">
        <f t="shared" si="8"/>
        <v>1327332.825</v>
      </c>
      <c r="F89" s="13">
        <f t="shared" si="9"/>
        <v>961608.38283300004</v>
      </c>
      <c r="G89" s="40">
        <f t="shared" si="10"/>
        <v>2.5406625006156953</v>
      </c>
      <c r="H89" s="13"/>
      <c r="I89" s="13"/>
      <c r="J89" s="13"/>
      <c r="K89" s="13"/>
    </row>
    <row r="90" spans="1:11">
      <c r="B90" s="13">
        <f t="shared" si="11"/>
        <v>67569.745155840006</v>
      </c>
      <c r="C90" s="8">
        <f t="shared" si="12"/>
        <v>2.0000000000000018</v>
      </c>
      <c r="D90" s="13">
        <f t="shared" si="13"/>
        <v>446057.00294784002</v>
      </c>
      <c r="E90" s="13">
        <f t="shared" si="8"/>
        <v>1393699.4662500001</v>
      </c>
      <c r="F90" s="13">
        <f t="shared" si="9"/>
        <v>961043.41970840993</v>
      </c>
      <c r="G90" s="40">
        <f t="shared" si="10"/>
        <v>2.1545305047498382</v>
      </c>
      <c r="H90" s="13"/>
      <c r="I90" s="13"/>
      <c r="J90" s="13"/>
      <c r="K90" s="13"/>
    </row>
    <row r="91" spans="1:11">
      <c r="B91" s="13">
        <f t="shared" si="11"/>
        <v>68921.140058956807</v>
      </c>
      <c r="C91" s="8">
        <f t="shared" si="12"/>
        <v>2.0000000000000018</v>
      </c>
      <c r="D91" s="13">
        <f t="shared" si="13"/>
        <v>514978.14300679683</v>
      </c>
      <c r="E91" s="13">
        <f t="shared" si="8"/>
        <v>1463384.4395625</v>
      </c>
      <c r="F91" s="13">
        <f t="shared" si="9"/>
        <v>962477.30078226572</v>
      </c>
      <c r="G91" s="40">
        <f t="shared" si="10"/>
        <v>1.8689672830824642</v>
      </c>
      <c r="H91" s="13"/>
      <c r="I91" s="13"/>
      <c r="J91" s="13"/>
      <c r="K91" s="13"/>
    </row>
    <row r="92" spans="1:11">
      <c r="B92" s="13">
        <f t="shared" si="11"/>
        <v>70299.562860135949</v>
      </c>
      <c r="C92" s="8">
        <f t="shared" si="12"/>
        <v>2.0000000000000018</v>
      </c>
      <c r="D92" s="13">
        <f t="shared" si="13"/>
        <v>585277.70586693275</v>
      </c>
      <c r="E92" s="13">
        <f t="shared" si="8"/>
        <v>1536553.6615406252</v>
      </c>
      <c r="F92" s="13">
        <f t="shared" si="9"/>
        <v>966050.51011158305</v>
      </c>
      <c r="G92" s="40">
        <f t="shared" si="10"/>
        <v>1.6505848427638927</v>
      </c>
      <c r="H92" s="13"/>
      <c r="I92" s="13"/>
      <c r="J92" s="13"/>
      <c r="K92" s="13"/>
    </row>
    <row r="93" spans="1:11">
      <c r="B93" s="13">
        <f t="shared" si="11"/>
        <v>71705.554117338674</v>
      </c>
      <c r="C93" s="8">
        <f t="shared" si="12"/>
        <v>2.0000000000000018</v>
      </c>
      <c r="D93" s="13">
        <f t="shared" si="13"/>
        <v>656983.25998427137</v>
      </c>
      <c r="E93" s="13">
        <f t="shared" si="8"/>
        <v>1613381.3446176564</v>
      </c>
      <c r="F93" s="13">
        <f t="shared" si="9"/>
        <v>971911.36679317034</v>
      </c>
      <c r="G93" s="40">
        <f t="shared" si="10"/>
        <v>1.4793548420342377</v>
      </c>
      <c r="H93" s="13"/>
      <c r="I93" s="13"/>
      <c r="J93" s="13"/>
      <c r="K93" s="13"/>
    </row>
    <row r="94" spans="1:11">
      <c r="B94" s="13">
        <f t="shared" si="11"/>
        <v>73139.665199685449</v>
      </c>
      <c r="C94" s="8">
        <f t="shared" si="12"/>
        <v>2.0000000000000018</v>
      </c>
      <c r="D94" s="13">
        <f t="shared" si="13"/>
        <v>730122.92518395686</v>
      </c>
      <c r="E94" s="13">
        <f t="shared" si="8"/>
        <v>1694050.4118485395</v>
      </c>
      <c r="F94" s="13">
        <f t="shared" si="9"/>
        <v>980216.43293235695</v>
      </c>
      <c r="G94" s="40">
        <f t="shared" si="10"/>
        <v>1.3425361663385493</v>
      </c>
      <c r="H94" s="13"/>
      <c r="I94" s="13"/>
      <c r="J94" s="13"/>
      <c r="K94" s="13"/>
    </row>
    <row r="95" spans="1:11">
      <c r="B95" s="13">
        <f t="shared" si="11"/>
        <v>74602.458503679154</v>
      </c>
      <c r="C95" s="8">
        <f t="shared" si="12"/>
        <v>2.0000000000000018</v>
      </c>
      <c r="D95" s="13">
        <f t="shared" si="13"/>
        <v>804725.383687636</v>
      </c>
      <c r="E95" s="13">
        <f t="shared" si="8"/>
        <v>1778752.9324409664</v>
      </c>
      <c r="F95" s="13">
        <f t="shared" si="9"/>
        <v>991130.94233449351</v>
      </c>
      <c r="G95" s="40">
        <f t="shared" si="10"/>
        <v>1.231638721016427</v>
      </c>
      <c r="H95" s="13"/>
      <c r="I95" s="13"/>
      <c r="J95" s="13"/>
      <c r="K95" s="13"/>
    </row>
    <row r="96" spans="1:11">
      <c r="B96" s="13">
        <f t="shared" si="11"/>
        <v>76094.507673752742</v>
      </c>
      <c r="C96" s="8">
        <f t="shared" si="12"/>
        <v>2.0000000000000018</v>
      </c>
      <c r="D96" s="13">
        <f t="shared" si="13"/>
        <v>880819.89136138873</v>
      </c>
      <c r="E96" s="13">
        <f t="shared" si="8"/>
        <v>1867690.5790630146</v>
      </c>
      <c r="F96" s="13">
        <f t="shared" si="9"/>
        <v>1004829.2509618473</v>
      </c>
      <c r="G96" s="40">
        <f t="shared" si="10"/>
        <v>1.1407885548642533</v>
      </c>
      <c r="H96" s="13"/>
      <c r="I96" s="13"/>
      <c r="J96" s="13"/>
      <c r="K96" s="13"/>
    </row>
    <row r="97" spans="1:11">
      <c r="B97" s="13">
        <f t="shared" si="11"/>
        <v>77616.397827227804</v>
      </c>
      <c r="C97" s="8">
        <f t="shared" si="12"/>
        <v>2.0000000000000018</v>
      </c>
      <c r="D97" s="13">
        <f t="shared" si="13"/>
        <v>958436.28918861656</v>
      </c>
      <c r="E97" s="13">
        <f t="shared" si="8"/>
        <v>1961075.1080161657</v>
      </c>
      <c r="F97" s="13">
        <f t="shared" si="9"/>
        <v>1021495.3102507814</v>
      </c>
      <c r="G97" s="40">
        <f t="shared" si="10"/>
        <v>1.0657936492738069</v>
      </c>
      <c r="H97" s="13"/>
      <c r="I97" s="13"/>
      <c r="J97" s="13"/>
      <c r="K97" s="13"/>
    </row>
    <row r="98" spans="1:11">
      <c r="B98" s="13">
        <f t="shared" si="11"/>
        <v>79168.725783772359</v>
      </c>
      <c r="C98" s="8">
        <f t="shared" si="12"/>
        <v>2.0000000000000018</v>
      </c>
      <c r="D98" s="13">
        <f t="shared" si="13"/>
        <v>1037605.014972389</v>
      </c>
      <c r="E98" s="13">
        <f t="shared" si="8"/>
        <v>2059128.863416974</v>
      </c>
      <c r="F98" s="13">
        <f t="shared" si="9"/>
        <v>1041323.164438979</v>
      </c>
      <c r="G98" s="40">
        <f t="shared" si="10"/>
        <v>1.003583395813376</v>
      </c>
      <c r="H98" s="13"/>
      <c r="I98" s="13"/>
      <c r="J98" s="13"/>
      <c r="K98" s="13"/>
    </row>
    <row r="99" spans="1:11">
      <c r="B99" s="13">
        <f t="shared" si="11"/>
        <v>80752.100299447804</v>
      </c>
      <c r="C99" s="8">
        <f t="shared" si="12"/>
        <v>2.0000000000000018</v>
      </c>
      <c r="D99" s="13">
        <f t="shared" si="13"/>
        <v>1118357.1152718368</v>
      </c>
      <c r="E99" s="13">
        <f t="shared" si="8"/>
        <v>2162085.3065878227</v>
      </c>
      <c r="F99" s="13">
        <f t="shared" si="9"/>
        <v>1064517.4731100996</v>
      </c>
      <c r="G99" s="40">
        <f t="shared" si="10"/>
        <v>0.95185827368867726</v>
      </c>
      <c r="H99" s="13"/>
      <c r="I99" s="13"/>
      <c r="J99" s="13"/>
      <c r="K99" s="13"/>
    </row>
    <row r="100" spans="1:11">
      <c r="B100" s="13">
        <f t="shared" si="11"/>
        <v>82367.142305436762</v>
      </c>
      <c r="C100" s="8">
        <f t="shared" si="12"/>
        <v>2.0000000000000018</v>
      </c>
      <c r="D100" s="13">
        <f t="shared" si="13"/>
        <v>1200724.2575772735</v>
      </c>
      <c r="E100" s="13">
        <f t="shared" si="8"/>
        <v>2270189.571917214</v>
      </c>
      <c r="F100" s="13">
        <f t="shared" si="9"/>
        <v>1091294.0602237596</v>
      </c>
      <c r="G100" s="40">
        <f t="shared" si="10"/>
        <v>0.90886317431921171</v>
      </c>
      <c r="H100" s="13"/>
      <c r="I100" s="13"/>
      <c r="J100" s="13"/>
      <c r="K100" s="13"/>
    </row>
    <row r="101" spans="1:11">
      <c r="B101" s="13">
        <f t="shared" si="11"/>
        <v>84014.485151545494</v>
      </c>
      <c r="C101" s="8">
        <f t="shared" si="12"/>
        <v>2.0000000000000018</v>
      </c>
      <c r="D101" s="13">
        <f t="shared" si="13"/>
        <v>1284738.7427288191</v>
      </c>
      <c r="E101" s="13">
        <f t="shared" si="8"/>
        <v>2383699.0505130747</v>
      </c>
      <c r="F101" s="13">
        <f t="shared" si="9"/>
        <v>1121880.490962266</v>
      </c>
      <c r="G101" s="40">
        <f t="shared" si="10"/>
        <v>0.87323628816498688</v>
      </c>
      <c r="H101" s="13"/>
      <c r="I101" s="13"/>
      <c r="J101" s="13"/>
      <c r="K101" s="13"/>
    </row>
    <row r="102" spans="1:11">
      <c r="B102" s="13">
        <f t="shared" si="11"/>
        <v>85694.774854576404</v>
      </c>
      <c r="C102" s="8">
        <f t="shared" si="12"/>
        <v>2.0000000000000018</v>
      </c>
      <c r="D102" s="13">
        <f t="shared" si="13"/>
        <v>1370433.5175833956</v>
      </c>
      <c r="E102" s="13">
        <f t="shared" si="8"/>
        <v>2502884.0030387286</v>
      </c>
      <c r="F102" s="13">
        <f t="shared" si="9"/>
        <v>1156516.6777922439</v>
      </c>
      <c r="G102" s="40">
        <f t="shared" si="10"/>
        <v>0.84390571520144242</v>
      </c>
      <c r="H102" s="13"/>
      <c r="I102" s="13"/>
      <c r="J102" s="13"/>
      <c r="K102" s="13"/>
    </row>
    <row r="103" spans="1:11">
      <c r="B103" s="13">
        <f t="shared" si="11"/>
        <v>87408.670351667941</v>
      </c>
      <c r="C103" s="8">
        <f t="shared" si="12"/>
        <v>2.0000000000000018</v>
      </c>
      <c r="D103" s="13">
        <f t="shared" si="13"/>
        <v>1457842.1879350636</v>
      </c>
      <c r="E103" s="13">
        <f t="shared" si="8"/>
        <v>2628028.2031906652</v>
      </c>
      <c r="F103" s="13">
        <f t="shared" si="9"/>
        <v>1195455.517209358</v>
      </c>
      <c r="G103" s="40">
        <f t="shared" si="10"/>
        <v>0.82001709588514593</v>
      </c>
      <c r="H103" s="13"/>
      <c r="I103" s="13"/>
      <c r="J103" s="13"/>
      <c r="K103" s="13"/>
    </row>
    <row r="104" spans="1:11">
      <c r="B104" s="13">
        <f t="shared" si="11"/>
        <v>89156.843758701303</v>
      </c>
      <c r="C104" s="8">
        <f t="shared" si="12"/>
        <v>2.0000000000000018</v>
      </c>
      <c r="D104" s="13">
        <f t="shared" si="13"/>
        <v>1546999.031693765</v>
      </c>
      <c r="E104" s="13">
        <f t="shared" si="8"/>
        <v>2759429.6133501986</v>
      </c>
      <c r="F104" s="13">
        <f t="shared" si="9"/>
        <v>1238963.558707878</v>
      </c>
      <c r="G104" s="40">
        <f t="shared" si="10"/>
        <v>0.80088192256421276</v>
      </c>
      <c r="H104" s="13"/>
      <c r="I104" s="13"/>
      <c r="J104" s="13"/>
      <c r="K104" s="13"/>
    </row>
    <row r="105" spans="1:11">
      <c r="B105" s="13">
        <f t="shared" si="11"/>
        <v>90939.980633875326</v>
      </c>
      <c r="C105" s="8">
        <f t="shared" si="12"/>
        <v>2.0000000000000018</v>
      </c>
      <c r="D105" s="13">
        <f t="shared" si="13"/>
        <v>1637939.0123276403</v>
      </c>
      <c r="E105" s="13">
        <f t="shared" si="8"/>
        <v>2897401.0940177087</v>
      </c>
      <c r="F105" s="13">
        <f t="shared" si="9"/>
        <v>1287321.707594085</v>
      </c>
      <c r="G105" s="40">
        <f t="shared" si="10"/>
        <v>0.78593995130789363</v>
      </c>
      <c r="H105" s="13"/>
      <c r="I105" s="13"/>
      <c r="J105" s="13"/>
      <c r="K105" s="13"/>
    </row>
    <row r="106" spans="1:11">
      <c r="B106" s="13">
        <f t="shared" si="11"/>
        <v>92758.780246552837</v>
      </c>
      <c r="C106" s="8">
        <f t="shared" si="12"/>
        <v>2.0000000000000018</v>
      </c>
      <c r="D106" s="13">
        <f t="shared" si="13"/>
        <v>1730697.7925741931</v>
      </c>
      <c r="E106" s="13">
        <f t="shared" si="8"/>
        <v>3042271.1487185946</v>
      </c>
      <c r="F106" s="13">
        <f t="shared" si="9"/>
        <v>1340825.9633436187</v>
      </c>
      <c r="G106" s="40">
        <f t="shared" si="10"/>
        <v>0.77473142283801633</v>
      </c>
      <c r="H106" s="13"/>
      <c r="I106" s="13"/>
      <c r="J106" s="13"/>
      <c r="K106" s="13"/>
    </row>
    <row r="107" spans="1:11">
      <c r="B107" s="13">
        <f t="shared" si="11"/>
        <v>94613.955851483901</v>
      </c>
      <c r="C107" s="8">
        <f t="shared" si="12"/>
        <v>2.0000000000000018</v>
      </c>
      <c r="D107" s="13">
        <f t="shared" si="13"/>
        <v>1825311.748425677</v>
      </c>
      <c r="E107" s="13">
        <f t="shared" si="8"/>
        <v>3194384.7061545243</v>
      </c>
      <c r="F107" s="13">
        <f t="shared" si="9"/>
        <v>1399788.1952880253</v>
      </c>
      <c r="G107" s="40">
        <f t="shared" si="10"/>
        <v>0.76687623168773023</v>
      </c>
      <c r="H107" s="13"/>
      <c r="I107" s="13"/>
      <c r="J107" s="13"/>
      <c r="K107" s="13"/>
    </row>
    <row r="108" spans="1:11">
      <c r="B108" s="13">
        <f t="shared" si="11"/>
        <v>96506.234968513585</v>
      </c>
      <c r="C108" s="8">
        <f t="shared" si="12"/>
        <v>2.0000000000000018</v>
      </c>
      <c r="D108" s="13">
        <f t="shared" si="13"/>
        <v>1921817.9833941904</v>
      </c>
      <c r="E108" s="13">
        <f t="shared" si="8"/>
        <v>3354103.9414622504</v>
      </c>
      <c r="F108" s="13">
        <f t="shared" si="9"/>
        <v>1464536.957505197</v>
      </c>
      <c r="G108" s="40">
        <f t="shared" si="10"/>
        <v>0.76205809819649351</v>
      </c>
      <c r="H108" s="13"/>
      <c r="I108" s="13"/>
      <c r="J108" s="13"/>
      <c r="K108" s="13"/>
    </row>
    <row r="111" spans="1:11">
      <c r="A111" s="16" t="s">
        <v>139</v>
      </c>
    </row>
    <row r="112" spans="1:11">
      <c r="A112" s="16" t="s">
        <v>140</v>
      </c>
      <c r="F112" s="1" t="s">
        <v>141</v>
      </c>
    </row>
    <row r="113" spans="1:6">
      <c r="A113" s="16" t="s">
        <v>142</v>
      </c>
      <c r="F113" s="1" t="s">
        <v>143</v>
      </c>
    </row>
    <row r="114" spans="1:6">
      <c r="A114" s="16"/>
      <c r="F114" s="1" t="s">
        <v>144</v>
      </c>
    </row>
    <row r="115" spans="1:6">
      <c r="A115" s="1" t="s">
        <v>145</v>
      </c>
    </row>
    <row r="116" spans="1:6">
      <c r="A116" s="1" t="s">
        <v>146</v>
      </c>
      <c r="B116" s="6" t="s">
        <v>27</v>
      </c>
    </row>
    <row r="117" spans="1:6">
      <c r="A117" s="6" t="s">
        <v>135</v>
      </c>
      <c r="B117" s="31">
        <f>C83</f>
        <v>1.02</v>
      </c>
    </row>
    <row r="118" spans="1:6">
      <c r="B118" s="6" t="s">
        <v>147</v>
      </c>
      <c r="C118" s="41" t="s">
        <v>135</v>
      </c>
      <c r="D118" s="6" t="s">
        <v>148</v>
      </c>
    </row>
    <row r="119" spans="1:6">
      <c r="A119" s="1">
        <f>A81</f>
        <v>1000000</v>
      </c>
      <c r="B119" s="13">
        <f>A119*$B$117</f>
        <v>1020000</v>
      </c>
      <c r="C119" s="13">
        <f t="shared" ref="C119:C143" si="14">H48</f>
        <v>1040000</v>
      </c>
      <c r="D119" s="8">
        <f t="shared" ref="D119:D143" si="15">D48-B119</f>
        <v>30000</v>
      </c>
      <c r="F119" s="1">
        <v>65</v>
      </c>
    </row>
    <row r="120" spans="1:6">
      <c r="B120" s="13">
        <f t="shared" ref="B120:B143" si="16">B119*$B$117</f>
        <v>1040400</v>
      </c>
      <c r="C120" s="13">
        <f t="shared" si="14"/>
        <v>1092000</v>
      </c>
      <c r="D120" s="13">
        <f t="shared" si="15"/>
        <v>62100</v>
      </c>
      <c r="F120" s="1">
        <v>66</v>
      </c>
    </row>
    <row r="121" spans="1:6">
      <c r="B121" s="13">
        <f t="shared" si="16"/>
        <v>1061208</v>
      </c>
      <c r="C121" s="13">
        <f t="shared" si="14"/>
        <v>1146600</v>
      </c>
      <c r="D121" s="13">
        <f t="shared" si="15"/>
        <v>96417</v>
      </c>
      <c r="F121" s="1">
        <v>67</v>
      </c>
    </row>
    <row r="122" spans="1:6">
      <c r="B122" s="13">
        <f t="shared" si="16"/>
        <v>1082432.1599999999</v>
      </c>
      <c r="C122" s="13">
        <f t="shared" si="14"/>
        <v>1203930</v>
      </c>
      <c r="D122" s="13">
        <f t="shared" si="15"/>
        <v>133074.09000000008</v>
      </c>
      <c r="F122" s="1">
        <v>68</v>
      </c>
    </row>
    <row r="123" spans="1:6">
      <c r="B123" s="13">
        <f t="shared" si="16"/>
        <v>1104080.8032</v>
      </c>
      <c r="C123" s="13">
        <f t="shared" si="14"/>
        <v>1264126.5</v>
      </c>
      <c r="D123" s="13">
        <f t="shared" si="15"/>
        <v>172200.75930000003</v>
      </c>
      <c r="F123" s="1">
        <v>69</v>
      </c>
    </row>
    <row r="124" spans="1:6">
      <c r="B124" s="13">
        <f t="shared" si="16"/>
        <v>1126162.4192639999</v>
      </c>
      <c r="C124" s="13">
        <f t="shared" si="14"/>
        <v>1327332.825</v>
      </c>
      <c r="D124" s="13">
        <f t="shared" si="15"/>
        <v>213933.22136100009</v>
      </c>
      <c r="F124" s="1">
        <v>70</v>
      </c>
    </row>
    <row r="125" spans="1:6">
      <c r="B125" s="13">
        <f t="shared" si="16"/>
        <v>1148685.6676492798</v>
      </c>
      <c r="C125" s="13">
        <f t="shared" si="14"/>
        <v>1393699.4662500001</v>
      </c>
      <c r="D125" s="13">
        <f t="shared" si="15"/>
        <v>258414.75500697014</v>
      </c>
      <c r="F125" s="1">
        <v>71</v>
      </c>
    </row>
    <row r="126" spans="1:6">
      <c r="B126" s="13">
        <f t="shared" si="16"/>
        <v>1171659.3810022655</v>
      </c>
      <c r="C126" s="13">
        <f t="shared" si="14"/>
        <v>1463384.4395625</v>
      </c>
      <c r="D126" s="13">
        <f t="shared" si="15"/>
        <v>305796.06278679706</v>
      </c>
      <c r="F126" s="1">
        <v>72</v>
      </c>
    </row>
    <row r="127" spans="1:6">
      <c r="B127" s="13">
        <f t="shared" si="16"/>
        <v>1195092.5686223109</v>
      </c>
      <c r="C127" s="13">
        <f t="shared" si="14"/>
        <v>1536553.6615406252</v>
      </c>
      <c r="D127" s="13">
        <f t="shared" si="15"/>
        <v>356235.64735620492</v>
      </c>
      <c r="F127" s="1">
        <v>73</v>
      </c>
    </row>
    <row r="128" spans="1:6">
      <c r="B128" s="13">
        <f t="shared" si="16"/>
        <v>1218994.419994757</v>
      </c>
      <c r="C128" s="13">
        <f t="shared" si="14"/>
        <v>1613381.3446176564</v>
      </c>
      <c r="D128" s="13">
        <f t="shared" si="15"/>
        <v>409900.20678268466</v>
      </c>
      <c r="F128" s="1">
        <v>74</v>
      </c>
    </row>
    <row r="129" spans="2:6">
      <c r="B129" s="13">
        <f t="shared" si="16"/>
        <v>1243374.3083946521</v>
      </c>
      <c r="C129" s="13">
        <f t="shared" si="14"/>
        <v>1694050.4118485395</v>
      </c>
      <c r="D129" s="13">
        <f t="shared" si="15"/>
        <v>466965.04972166172</v>
      </c>
      <c r="F129" s="1">
        <v>75</v>
      </c>
    </row>
    <row r="130" spans="2:6">
      <c r="B130" s="13">
        <f t="shared" si="16"/>
        <v>1268241.7945625451</v>
      </c>
      <c r="C130" s="13">
        <f t="shared" si="14"/>
        <v>1778752.9324409664</v>
      </c>
      <c r="D130" s="13">
        <f t="shared" si="15"/>
        <v>527614.53145958437</v>
      </c>
      <c r="F130" s="1">
        <v>76</v>
      </c>
    </row>
    <row r="131" spans="2:6">
      <c r="B131" s="13">
        <f t="shared" si="16"/>
        <v>1293606.6304537961</v>
      </c>
      <c r="C131" s="13">
        <f t="shared" si="14"/>
        <v>1867690.5790630146</v>
      </c>
      <c r="D131" s="13">
        <f t="shared" si="15"/>
        <v>592042.51186943986</v>
      </c>
      <c r="F131" s="1">
        <v>77</v>
      </c>
    </row>
    <row r="132" spans="2:6">
      <c r="B132" s="13">
        <f t="shared" si="16"/>
        <v>1319478.763062872</v>
      </c>
      <c r="C132" s="13">
        <f t="shared" si="14"/>
        <v>1961075.1080161657</v>
      </c>
      <c r="D132" s="13">
        <f t="shared" si="15"/>
        <v>660452.83637652593</v>
      </c>
      <c r="F132" s="1">
        <v>78</v>
      </c>
    </row>
    <row r="133" spans="2:6">
      <c r="B133" s="13">
        <f t="shared" si="16"/>
        <v>1345868.3383241293</v>
      </c>
      <c r="C133" s="13">
        <f t="shared" si="14"/>
        <v>2059128.863416974</v>
      </c>
      <c r="D133" s="13">
        <f t="shared" si="15"/>
        <v>733059.84108723863</v>
      </c>
      <c r="F133" s="1">
        <v>79</v>
      </c>
    </row>
    <row r="134" spans="2:6">
      <c r="B134" s="13">
        <f t="shared" si="16"/>
        <v>1372785.7050906119</v>
      </c>
      <c r="C134" s="13">
        <f t="shared" si="14"/>
        <v>2162085.3065878227</v>
      </c>
      <c r="D134" s="13">
        <f t="shared" si="15"/>
        <v>810088.88329132437</v>
      </c>
      <c r="F134" s="1">
        <v>80</v>
      </c>
    </row>
    <row r="135" spans="2:6">
      <c r="B135" s="13">
        <f t="shared" si="16"/>
        <v>1400241.4191924243</v>
      </c>
      <c r="C135" s="13">
        <f t="shared" si="14"/>
        <v>2270189.571917214</v>
      </c>
      <c r="D135" s="13">
        <f t="shared" si="15"/>
        <v>891776.89860860887</v>
      </c>
      <c r="F135" s="1">
        <v>81</v>
      </c>
    </row>
    <row r="136" spans="2:6">
      <c r="B136" s="13">
        <f t="shared" si="16"/>
        <v>1428246.2475762728</v>
      </c>
      <c r="C136" s="13">
        <f t="shared" si="14"/>
        <v>2383699.0505130747</v>
      </c>
      <c r="D136" s="13">
        <f t="shared" si="15"/>
        <v>978372.98611481232</v>
      </c>
      <c r="F136" s="1">
        <v>82</v>
      </c>
    </row>
    <row r="137" spans="2:6">
      <c r="B137" s="13">
        <f t="shared" si="16"/>
        <v>1456811.1725277982</v>
      </c>
      <c r="C137" s="13">
        <f t="shared" si="14"/>
        <v>2502884.0030387286</v>
      </c>
      <c r="D137" s="13">
        <f t="shared" si="15"/>
        <v>1070139.0228478413</v>
      </c>
      <c r="F137" s="1">
        <v>83</v>
      </c>
    </row>
    <row r="138" spans="2:6">
      <c r="B138" s="13">
        <f t="shared" si="16"/>
        <v>1485947.3959783542</v>
      </c>
      <c r="C138" s="13">
        <f t="shared" si="14"/>
        <v>2628028.2031906652</v>
      </c>
      <c r="D138" s="13">
        <f t="shared" si="15"/>
        <v>1167350.3091660675</v>
      </c>
      <c r="F138" s="1">
        <v>84</v>
      </c>
    </row>
    <row r="139" spans="2:6">
      <c r="B139" s="13">
        <f t="shared" si="16"/>
        <v>1515666.3438979213</v>
      </c>
      <c r="C139" s="13">
        <f t="shared" si="14"/>
        <v>2759429.6133501986</v>
      </c>
      <c r="D139" s="13">
        <f t="shared" si="15"/>
        <v>1270296.2465037217</v>
      </c>
      <c r="F139" s="1">
        <v>85</v>
      </c>
    </row>
    <row r="140" spans="2:6">
      <c r="B140" s="13">
        <f t="shared" si="16"/>
        <v>1545979.6707758796</v>
      </c>
      <c r="C140" s="13">
        <f t="shared" si="14"/>
        <v>2897401.0940177087</v>
      </c>
      <c r="D140" s="13">
        <f t="shared" si="15"/>
        <v>1379281.0491458457</v>
      </c>
      <c r="F140" s="1">
        <v>86</v>
      </c>
    </row>
    <row r="141" spans="2:6">
      <c r="B141" s="13">
        <f t="shared" si="16"/>
        <v>1576899.2641913972</v>
      </c>
      <c r="C141" s="13">
        <f t="shared" si="14"/>
        <v>3042271.1487185946</v>
      </c>
      <c r="D141" s="13">
        <f t="shared" si="15"/>
        <v>1494624.4917264145</v>
      </c>
      <c r="F141" s="1">
        <v>87</v>
      </c>
    </row>
    <row r="142" spans="2:6">
      <c r="B142" s="13">
        <f t="shared" si="16"/>
        <v>1608437.2494752251</v>
      </c>
      <c r="C142" s="13">
        <f t="shared" si="14"/>
        <v>3194384.7061545243</v>
      </c>
      <c r="D142" s="13">
        <f t="shared" si="15"/>
        <v>1616662.6942384772</v>
      </c>
      <c r="F142" s="1">
        <v>88</v>
      </c>
    </row>
    <row r="143" spans="2:6">
      <c r="B143" s="13">
        <f t="shared" si="16"/>
        <v>1640605.9944647297</v>
      </c>
      <c r="C143" s="13">
        <f t="shared" si="14"/>
        <v>3354103.9414622504</v>
      </c>
      <c r="D143" s="13">
        <f t="shared" si="15"/>
        <v>1745748.9464346578</v>
      </c>
      <c r="F143" s="1">
        <v>89</v>
      </c>
    </row>
    <row r="147" spans="1:5">
      <c r="A147" s="16" t="s">
        <v>149</v>
      </c>
    </row>
    <row r="149" spans="1:5">
      <c r="A149" s="1" t="s">
        <v>150</v>
      </c>
    </row>
    <row r="151" spans="1:5">
      <c r="A151" s="6" t="s">
        <v>151</v>
      </c>
      <c r="B151" s="6" t="s">
        <v>135</v>
      </c>
      <c r="C151" s="37" t="s">
        <v>137</v>
      </c>
      <c r="D151" s="6" t="s">
        <v>152</v>
      </c>
      <c r="E151" s="6"/>
    </row>
    <row r="152" spans="1:5">
      <c r="A152" s="6" t="s">
        <v>153</v>
      </c>
      <c r="B152" s="6"/>
      <c r="C152" s="37" t="s">
        <v>154</v>
      </c>
      <c r="D152" s="6"/>
      <c r="E152" s="6"/>
    </row>
    <row r="153" spans="1:5">
      <c r="A153" s="37">
        <v>1</v>
      </c>
      <c r="B153" s="42">
        <v>1218378</v>
      </c>
      <c r="C153" s="42">
        <v>1457842</v>
      </c>
      <c r="D153" s="42">
        <f t="shared" ref="D153:D162" si="17">B153-C153</f>
        <v>-239464</v>
      </c>
    </row>
    <row r="154" spans="1:5">
      <c r="A154" s="37">
        <v>2</v>
      </c>
      <c r="B154" s="42">
        <v>1483762</v>
      </c>
      <c r="C154" s="42">
        <v>1457842</v>
      </c>
      <c r="D154" s="42">
        <f t="shared" si="17"/>
        <v>25920</v>
      </c>
    </row>
    <row r="155" spans="1:5">
      <c r="A155" s="37">
        <v>3</v>
      </c>
      <c r="B155" s="42">
        <v>1803481</v>
      </c>
      <c r="C155" s="42">
        <v>1457842</v>
      </c>
      <c r="D155" s="42">
        <f t="shared" si="17"/>
        <v>345639</v>
      </c>
    </row>
    <row r="156" spans="1:5">
      <c r="A156" s="37">
        <v>4</v>
      </c>
      <c r="B156" s="42">
        <v>2187963</v>
      </c>
      <c r="C156" s="42">
        <v>1457842</v>
      </c>
      <c r="D156" s="42">
        <f t="shared" si="17"/>
        <v>730121</v>
      </c>
    </row>
    <row r="157" spans="1:5">
      <c r="A157" s="37">
        <v>5</v>
      </c>
      <c r="B157" s="42">
        <v>2649507</v>
      </c>
      <c r="C157" s="42">
        <v>1457842</v>
      </c>
      <c r="D157" s="42">
        <f t="shared" si="17"/>
        <v>1191665</v>
      </c>
    </row>
    <row r="158" spans="1:5">
      <c r="A158" s="37">
        <v>6</v>
      </c>
      <c r="B158" s="42">
        <v>3202597</v>
      </c>
      <c r="C158" s="42">
        <v>1457842</v>
      </c>
      <c r="D158" s="42">
        <f t="shared" si="17"/>
        <v>1744755</v>
      </c>
    </row>
    <row r="159" spans="1:5">
      <c r="A159" s="37">
        <v>7</v>
      </c>
      <c r="B159" s="42">
        <v>3864260</v>
      </c>
      <c r="C159" s="42">
        <v>1457842</v>
      </c>
      <c r="D159" s="42">
        <f t="shared" si="17"/>
        <v>2406418</v>
      </c>
    </row>
    <row r="160" spans="1:5">
      <c r="A160" s="37">
        <v>8</v>
      </c>
      <c r="B160" s="42">
        <v>4654484</v>
      </c>
      <c r="C160" s="42">
        <v>1457842</v>
      </c>
      <c r="D160" s="42">
        <f t="shared" si="17"/>
        <v>3196642</v>
      </c>
    </row>
    <row r="161" spans="1:4">
      <c r="A161" s="37">
        <v>9</v>
      </c>
      <c r="B161" s="42">
        <v>5596698</v>
      </c>
      <c r="C161" s="42">
        <v>1457842</v>
      </c>
      <c r="D161" s="42">
        <f t="shared" si="17"/>
        <v>4138856</v>
      </c>
    </row>
    <row r="162" spans="1:4">
      <c r="A162" s="37">
        <v>10</v>
      </c>
      <c r="B162" s="42">
        <v>6718326</v>
      </c>
      <c r="C162" s="42">
        <v>1457842</v>
      </c>
      <c r="D162" s="42">
        <f t="shared" si="17"/>
        <v>5260484</v>
      </c>
    </row>
    <row r="177" spans="1:8">
      <c r="B177" s="43"/>
      <c r="D177" s="43"/>
      <c r="E177" s="44"/>
      <c r="F177" s="44"/>
    </row>
    <row r="178" spans="1:8">
      <c r="B178" s="43"/>
      <c r="D178" s="43"/>
      <c r="E178" s="44"/>
      <c r="F178" s="44"/>
    </row>
    <row r="179" spans="1:8">
      <c r="A179" s="16" t="s">
        <v>155</v>
      </c>
      <c r="B179" s="43"/>
      <c r="D179" s="43"/>
      <c r="E179" s="44"/>
      <c r="F179" s="44"/>
    </row>
    <row r="180" spans="1:8">
      <c r="B180" s="43"/>
      <c r="D180" s="43"/>
      <c r="E180" s="44"/>
      <c r="F180" s="44"/>
    </row>
    <row r="181" spans="1:8">
      <c r="A181" s="1" t="s">
        <v>156</v>
      </c>
      <c r="B181" s="43"/>
      <c r="D181" s="43"/>
      <c r="E181" s="44"/>
      <c r="F181" s="44"/>
    </row>
    <row r="182" spans="1:8">
      <c r="B182" s="43"/>
      <c r="D182" s="43"/>
      <c r="E182" s="44"/>
      <c r="F182" s="44"/>
    </row>
    <row r="183" spans="1:8">
      <c r="A183" s="6" t="s">
        <v>25</v>
      </c>
      <c r="B183" s="45" t="s">
        <v>40</v>
      </c>
      <c r="C183" s="6" t="s">
        <v>157</v>
      </c>
      <c r="D183" s="45" t="s">
        <v>158</v>
      </c>
      <c r="E183" s="44" t="s">
        <v>42</v>
      </c>
      <c r="F183" s="46" t="s">
        <v>159</v>
      </c>
    </row>
    <row r="184" spans="1:8">
      <c r="B184" s="45" t="s">
        <v>29</v>
      </c>
      <c r="C184" s="5">
        <f>C83-1</f>
        <v>2.0000000000000018E-2</v>
      </c>
      <c r="D184" s="43"/>
      <c r="E184" s="44"/>
      <c r="F184" s="47">
        <v>10000</v>
      </c>
      <c r="G184" s="44">
        <v>100000</v>
      </c>
    </row>
    <row r="185" spans="1:8">
      <c r="A185" s="1">
        <v>65</v>
      </c>
      <c r="B185" s="48">
        <v>30000</v>
      </c>
      <c r="C185" s="1">
        <f t="shared" ref="C185:C205" si="18">B185*$C$184</f>
        <v>600.00000000000057</v>
      </c>
      <c r="D185" s="43">
        <f t="shared" ref="D185:D205" si="19">B185+C185</f>
        <v>30600</v>
      </c>
      <c r="E185" s="44">
        <f>D185</f>
        <v>30600</v>
      </c>
      <c r="F185" s="44">
        <f t="shared" ref="F185:F205" si="20">E185*$F$184</f>
        <v>306000000</v>
      </c>
      <c r="G185" s="43">
        <f t="shared" ref="G185:G205" si="21">E185*$G$184/1000000</f>
        <v>3060</v>
      </c>
      <c r="H185" s="1" t="s">
        <v>160</v>
      </c>
    </row>
    <row r="186" spans="1:8">
      <c r="A186" s="1">
        <v>66</v>
      </c>
      <c r="B186" s="43">
        <f t="shared" ref="B186:B205" si="22">D185</f>
        <v>30600</v>
      </c>
      <c r="C186" s="1">
        <f t="shared" si="18"/>
        <v>612.00000000000057</v>
      </c>
      <c r="D186" s="43">
        <f t="shared" si="19"/>
        <v>31212</v>
      </c>
      <c r="E186" s="44">
        <f t="shared" ref="E186:E205" si="23">E185+D186</f>
        <v>61812</v>
      </c>
      <c r="F186" s="44">
        <f t="shared" si="20"/>
        <v>618120000</v>
      </c>
      <c r="G186" s="43">
        <f t="shared" si="21"/>
        <v>6181.2</v>
      </c>
      <c r="H186" s="1" t="s">
        <v>160</v>
      </c>
    </row>
    <row r="187" spans="1:8">
      <c r="A187" s="1">
        <v>67</v>
      </c>
      <c r="B187" s="43">
        <f t="shared" si="22"/>
        <v>31212</v>
      </c>
      <c r="C187" s="12">
        <f t="shared" si="18"/>
        <v>624.24000000000058</v>
      </c>
      <c r="D187" s="43">
        <f t="shared" si="19"/>
        <v>31836.240000000002</v>
      </c>
      <c r="E187" s="44">
        <f t="shared" si="23"/>
        <v>93648.24</v>
      </c>
      <c r="F187" s="44">
        <f t="shared" si="20"/>
        <v>936482400</v>
      </c>
      <c r="G187" s="43">
        <f t="shared" si="21"/>
        <v>9364.8240000000005</v>
      </c>
      <c r="H187" s="1" t="s">
        <v>160</v>
      </c>
    </row>
    <row r="188" spans="1:8">
      <c r="A188" s="1">
        <v>68</v>
      </c>
      <c r="B188" s="43">
        <f t="shared" si="22"/>
        <v>31836.240000000002</v>
      </c>
      <c r="C188" s="12">
        <f t="shared" si="18"/>
        <v>636.72480000000064</v>
      </c>
      <c r="D188" s="43">
        <f t="shared" si="19"/>
        <v>32472.964800000002</v>
      </c>
      <c r="E188" s="44">
        <f t="shared" si="23"/>
        <v>126121.20480000001</v>
      </c>
      <c r="F188" s="44">
        <f t="shared" si="20"/>
        <v>1261212048</v>
      </c>
      <c r="G188" s="43">
        <f t="shared" si="21"/>
        <v>12612.12048</v>
      </c>
      <c r="H188" s="1" t="s">
        <v>160</v>
      </c>
    </row>
    <row r="189" spans="1:8">
      <c r="A189" s="1">
        <v>69</v>
      </c>
      <c r="B189" s="43">
        <f t="shared" si="22"/>
        <v>32472.964800000002</v>
      </c>
      <c r="C189" s="12">
        <f t="shared" si="18"/>
        <v>649.45929600000056</v>
      </c>
      <c r="D189" s="43">
        <f t="shared" si="19"/>
        <v>33122.424096000002</v>
      </c>
      <c r="E189" s="44">
        <f t="shared" si="23"/>
        <v>159243.62889600001</v>
      </c>
      <c r="F189" s="44">
        <f t="shared" si="20"/>
        <v>1592436288.96</v>
      </c>
      <c r="G189" s="43">
        <f t="shared" si="21"/>
        <v>15924.362889600001</v>
      </c>
      <c r="H189" s="1" t="s">
        <v>160</v>
      </c>
    </row>
    <row r="190" spans="1:8">
      <c r="A190" s="1">
        <v>70</v>
      </c>
      <c r="B190" s="43">
        <f t="shared" si="22"/>
        <v>33122.424096000002</v>
      </c>
      <c r="C190" s="12">
        <f t="shared" si="18"/>
        <v>662.44848192000063</v>
      </c>
      <c r="D190" s="43">
        <f t="shared" si="19"/>
        <v>33784.872577920003</v>
      </c>
      <c r="E190" s="44">
        <f t="shared" si="23"/>
        <v>193028.50147392001</v>
      </c>
      <c r="F190" s="44">
        <f t="shared" si="20"/>
        <v>1930285014.7392001</v>
      </c>
      <c r="G190" s="43">
        <f t="shared" si="21"/>
        <v>19302.850147392001</v>
      </c>
      <c r="H190" s="1" t="s">
        <v>160</v>
      </c>
    </row>
    <row r="191" spans="1:8">
      <c r="A191" s="1">
        <v>71</v>
      </c>
      <c r="B191" s="43">
        <f t="shared" si="22"/>
        <v>33784.872577920003</v>
      </c>
      <c r="C191" s="12">
        <f t="shared" si="18"/>
        <v>675.69745155840064</v>
      </c>
      <c r="D191" s="43">
        <f t="shared" si="19"/>
        <v>34460.570029478404</v>
      </c>
      <c r="E191" s="44">
        <f t="shared" si="23"/>
        <v>227489.07150339842</v>
      </c>
      <c r="F191" s="44">
        <f t="shared" si="20"/>
        <v>2274890715.0339842</v>
      </c>
      <c r="G191" s="43">
        <f t="shared" si="21"/>
        <v>22748.907150339841</v>
      </c>
      <c r="H191" s="1" t="s">
        <v>160</v>
      </c>
    </row>
    <row r="192" spans="1:8">
      <c r="A192" s="1">
        <v>72</v>
      </c>
      <c r="B192" s="43">
        <f t="shared" si="22"/>
        <v>34460.570029478404</v>
      </c>
      <c r="C192" s="12">
        <f t="shared" si="18"/>
        <v>689.21140058956871</v>
      </c>
      <c r="D192" s="43">
        <f t="shared" si="19"/>
        <v>35149.781430067975</v>
      </c>
      <c r="E192" s="44">
        <f t="shared" si="23"/>
        <v>262638.85293346638</v>
      </c>
      <c r="F192" s="44">
        <f t="shared" si="20"/>
        <v>2626388529.3346639</v>
      </c>
      <c r="G192" s="43">
        <f t="shared" si="21"/>
        <v>26263.885293346637</v>
      </c>
      <c r="H192" s="1" t="s">
        <v>160</v>
      </c>
    </row>
    <row r="193" spans="1:8">
      <c r="A193" s="1">
        <v>73</v>
      </c>
      <c r="B193" s="43">
        <f t="shared" si="22"/>
        <v>35149.781430067975</v>
      </c>
      <c r="C193" s="12">
        <f t="shared" si="18"/>
        <v>702.99562860136007</v>
      </c>
      <c r="D193" s="43">
        <f t="shared" si="19"/>
        <v>35852.777058669337</v>
      </c>
      <c r="E193" s="44">
        <f t="shared" si="23"/>
        <v>298491.62999213568</v>
      </c>
      <c r="F193" s="44">
        <f t="shared" si="20"/>
        <v>2984916299.9213567</v>
      </c>
      <c r="G193" s="43">
        <f t="shared" si="21"/>
        <v>29849.162999213571</v>
      </c>
      <c r="H193" s="1" t="s">
        <v>160</v>
      </c>
    </row>
    <row r="194" spans="1:8">
      <c r="A194" s="1">
        <v>74</v>
      </c>
      <c r="B194" s="43">
        <f t="shared" si="22"/>
        <v>35852.777058669337</v>
      </c>
      <c r="C194" s="12">
        <f t="shared" si="18"/>
        <v>717.05554117338738</v>
      </c>
      <c r="D194" s="43">
        <f t="shared" si="19"/>
        <v>36569.832599842724</v>
      </c>
      <c r="E194" s="44">
        <f t="shared" si="23"/>
        <v>335061.46259197843</v>
      </c>
      <c r="F194" s="44">
        <f t="shared" si="20"/>
        <v>3350614625.9197841</v>
      </c>
      <c r="G194" s="43">
        <f t="shared" si="21"/>
        <v>33506.146259197842</v>
      </c>
      <c r="H194" s="1" t="s">
        <v>160</v>
      </c>
    </row>
    <row r="195" spans="1:8">
      <c r="A195" s="1">
        <v>75</v>
      </c>
      <c r="B195" s="43">
        <f t="shared" si="22"/>
        <v>36569.832599842724</v>
      </c>
      <c r="C195" s="12">
        <f t="shared" si="18"/>
        <v>731.3966519968551</v>
      </c>
      <c r="D195" s="43">
        <f t="shared" si="19"/>
        <v>37301.229251839577</v>
      </c>
      <c r="E195" s="44">
        <f t="shared" si="23"/>
        <v>372362.691843818</v>
      </c>
      <c r="F195" s="44">
        <f t="shared" si="20"/>
        <v>3723626918.43818</v>
      </c>
      <c r="G195" s="43">
        <f t="shared" si="21"/>
        <v>37236.269184381796</v>
      </c>
      <c r="H195" s="1" t="s">
        <v>160</v>
      </c>
    </row>
    <row r="196" spans="1:8">
      <c r="A196" s="1">
        <v>76</v>
      </c>
      <c r="B196" s="43">
        <f t="shared" si="22"/>
        <v>37301.229251839577</v>
      </c>
      <c r="C196" s="12">
        <f t="shared" si="18"/>
        <v>746.02458503679225</v>
      </c>
      <c r="D196" s="43">
        <f t="shared" si="19"/>
        <v>38047.253836876371</v>
      </c>
      <c r="E196" s="44">
        <f t="shared" si="23"/>
        <v>410409.94568069436</v>
      </c>
      <c r="F196" s="44">
        <f t="shared" si="20"/>
        <v>4104099456.8069434</v>
      </c>
      <c r="G196" s="43">
        <f t="shared" si="21"/>
        <v>41040.994568069436</v>
      </c>
      <c r="H196" s="1" t="s">
        <v>160</v>
      </c>
    </row>
    <row r="197" spans="1:8">
      <c r="A197" s="1">
        <v>77</v>
      </c>
      <c r="B197" s="43">
        <f t="shared" si="22"/>
        <v>38047.253836876371</v>
      </c>
      <c r="C197" s="12">
        <f t="shared" si="18"/>
        <v>760.9450767375281</v>
      </c>
      <c r="D197" s="43">
        <f t="shared" si="19"/>
        <v>38808.198913613902</v>
      </c>
      <c r="E197" s="44">
        <f t="shared" si="23"/>
        <v>449218.14459430828</v>
      </c>
      <c r="F197" s="44">
        <f t="shared" si="20"/>
        <v>4492181445.9430828</v>
      </c>
      <c r="G197" s="43">
        <f t="shared" si="21"/>
        <v>44921.814459430825</v>
      </c>
      <c r="H197" s="1" t="s">
        <v>160</v>
      </c>
    </row>
    <row r="198" spans="1:8">
      <c r="A198" s="1">
        <v>78</v>
      </c>
      <c r="B198" s="43">
        <f t="shared" si="22"/>
        <v>38808.198913613902</v>
      </c>
      <c r="C198" s="12">
        <f t="shared" si="18"/>
        <v>776.16397827227877</v>
      </c>
      <c r="D198" s="43">
        <f t="shared" si="19"/>
        <v>39584.36289188618</v>
      </c>
      <c r="E198" s="44">
        <f t="shared" si="23"/>
        <v>488802.50748619449</v>
      </c>
      <c r="F198" s="44">
        <f t="shared" si="20"/>
        <v>4888025074.8619452</v>
      </c>
      <c r="G198" s="43">
        <f t="shared" si="21"/>
        <v>48880.250748619444</v>
      </c>
      <c r="H198" s="1" t="s">
        <v>160</v>
      </c>
    </row>
    <row r="199" spans="1:8">
      <c r="A199" s="1">
        <v>79</v>
      </c>
      <c r="B199" s="43">
        <f t="shared" si="22"/>
        <v>39584.36289188618</v>
      </c>
      <c r="C199" s="12">
        <f t="shared" si="18"/>
        <v>791.68725783772425</v>
      </c>
      <c r="D199" s="43">
        <f t="shared" si="19"/>
        <v>40376.050149723902</v>
      </c>
      <c r="E199" s="44">
        <f t="shared" si="23"/>
        <v>529178.55763591838</v>
      </c>
      <c r="F199" s="44">
        <f t="shared" si="20"/>
        <v>5291785576.3591833</v>
      </c>
      <c r="G199" s="43">
        <f t="shared" si="21"/>
        <v>52917.855763591833</v>
      </c>
      <c r="H199" s="1" t="s">
        <v>160</v>
      </c>
    </row>
    <row r="200" spans="1:8">
      <c r="A200" s="1">
        <v>80</v>
      </c>
      <c r="B200" s="43">
        <f t="shared" si="22"/>
        <v>40376.050149723902</v>
      </c>
      <c r="C200" s="12">
        <f t="shared" si="18"/>
        <v>807.52100299447875</v>
      </c>
      <c r="D200" s="43">
        <f t="shared" si="19"/>
        <v>41183.571152718381</v>
      </c>
      <c r="E200" s="44">
        <f t="shared" si="23"/>
        <v>570362.12878863676</v>
      </c>
      <c r="F200" s="44">
        <f t="shared" si="20"/>
        <v>5703621287.8863678</v>
      </c>
      <c r="G200" s="43">
        <f t="shared" si="21"/>
        <v>57036.212878863676</v>
      </c>
      <c r="H200" s="1" t="s">
        <v>160</v>
      </c>
    </row>
    <row r="201" spans="1:8">
      <c r="A201" s="1">
        <v>81</v>
      </c>
      <c r="B201" s="43">
        <f t="shared" si="22"/>
        <v>41183.571152718381</v>
      </c>
      <c r="C201" s="12">
        <f t="shared" si="18"/>
        <v>823.67142305436835</v>
      </c>
      <c r="D201" s="43">
        <f t="shared" si="19"/>
        <v>42007.242575772747</v>
      </c>
      <c r="E201" s="44">
        <f t="shared" si="23"/>
        <v>612369.37136440957</v>
      </c>
      <c r="F201" s="44">
        <f t="shared" si="20"/>
        <v>6123693713.6440954</v>
      </c>
      <c r="G201" s="43">
        <f t="shared" si="21"/>
        <v>61236.937136440953</v>
      </c>
      <c r="H201" s="1" t="s">
        <v>160</v>
      </c>
    </row>
    <row r="202" spans="1:8">
      <c r="A202" s="1">
        <v>82</v>
      </c>
      <c r="B202" s="43">
        <f t="shared" si="22"/>
        <v>42007.242575772747</v>
      </c>
      <c r="C202" s="12">
        <f t="shared" si="18"/>
        <v>840.14485151545568</v>
      </c>
      <c r="D202" s="43">
        <f t="shared" si="19"/>
        <v>42847.387427288202</v>
      </c>
      <c r="E202" s="44">
        <f t="shared" si="23"/>
        <v>655216.75879169779</v>
      </c>
      <c r="F202" s="44">
        <f t="shared" si="20"/>
        <v>6552167587.9169779</v>
      </c>
      <c r="G202" s="43">
        <f t="shared" si="21"/>
        <v>65521.675879169779</v>
      </c>
      <c r="H202" s="1" t="s">
        <v>160</v>
      </c>
    </row>
    <row r="203" spans="1:8">
      <c r="A203" s="1">
        <v>83</v>
      </c>
      <c r="B203" s="43">
        <f t="shared" si="22"/>
        <v>42847.387427288202</v>
      </c>
      <c r="C203" s="12">
        <f t="shared" si="18"/>
        <v>856.94774854576485</v>
      </c>
      <c r="D203" s="43">
        <f t="shared" si="19"/>
        <v>43704.33517583397</v>
      </c>
      <c r="E203" s="44">
        <f t="shared" si="23"/>
        <v>698921.09396753181</v>
      </c>
      <c r="F203" s="44">
        <f t="shared" si="20"/>
        <v>6989210939.6753178</v>
      </c>
      <c r="G203" s="43">
        <f t="shared" si="21"/>
        <v>69892.109396753178</v>
      </c>
      <c r="H203" s="1" t="s">
        <v>160</v>
      </c>
    </row>
    <row r="204" spans="1:8">
      <c r="A204" s="1">
        <v>84</v>
      </c>
      <c r="B204" s="43">
        <f t="shared" si="22"/>
        <v>43704.33517583397</v>
      </c>
      <c r="C204" s="12">
        <f t="shared" si="18"/>
        <v>874.08670351668013</v>
      </c>
      <c r="D204" s="43">
        <f t="shared" si="19"/>
        <v>44578.421879350652</v>
      </c>
      <c r="E204" s="44">
        <f t="shared" si="23"/>
        <v>743499.51584688248</v>
      </c>
      <c r="F204" s="44">
        <f t="shared" si="20"/>
        <v>7434995158.4688244</v>
      </c>
      <c r="G204" s="43">
        <f t="shared" si="21"/>
        <v>74349.951584688242</v>
      </c>
      <c r="H204" s="1" t="s">
        <v>160</v>
      </c>
    </row>
    <row r="205" spans="1:8">
      <c r="A205" s="1">
        <v>85</v>
      </c>
      <c r="B205" s="43">
        <f t="shared" si="22"/>
        <v>44578.421879350652</v>
      </c>
      <c r="C205" s="12">
        <f t="shared" si="18"/>
        <v>891.56843758701382</v>
      </c>
      <c r="D205" s="43">
        <f t="shared" si="19"/>
        <v>45469.990316937663</v>
      </c>
      <c r="E205" s="44">
        <f t="shared" si="23"/>
        <v>788969.50616382016</v>
      </c>
      <c r="F205" s="44">
        <f t="shared" si="20"/>
        <v>7889695061.6382017</v>
      </c>
      <c r="G205" s="43">
        <f t="shared" si="21"/>
        <v>78896.950616382019</v>
      </c>
      <c r="H205" s="1" t="s">
        <v>160</v>
      </c>
    </row>
    <row r="206" spans="1:8">
      <c r="B206" s="43"/>
      <c r="D206" s="43"/>
      <c r="E206" s="44"/>
      <c r="F206" s="44"/>
    </row>
    <row r="207" spans="1:8">
      <c r="B207" s="43"/>
      <c r="D207" s="43"/>
      <c r="E207" s="44"/>
      <c r="F207" s="44"/>
    </row>
    <row r="208" spans="1:8">
      <c r="B208" s="43"/>
      <c r="D208" s="43"/>
      <c r="E208" s="44"/>
      <c r="F208" s="44"/>
    </row>
    <row r="209" spans="1:6">
      <c r="B209" s="43"/>
      <c r="D209" s="43"/>
      <c r="E209" s="44"/>
      <c r="F209" s="44"/>
    </row>
    <row r="210" spans="1:6">
      <c r="B210" s="43"/>
      <c r="D210" s="43"/>
      <c r="E210" s="44"/>
      <c r="F210" s="44"/>
    </row>
    <row r="211" spans="1:6">
      <c r="B211" s="43"/>
      <c r="D211" s="43"/>
      <c r="E211" s="44"/>
      <c r="F211" s="44"/>
    </row>
    <row r="212" spans="1:6">
      <c r="B212" s="43"/>
      <c r="D212" s="43"/>
      <c r="E212" s="44"/>
      <c r="F212" s="44"/>
    </row>
    <row r="213" spans="1:6">
      <c r="A213" s="16" t="s">
        <v>161</v>
      </c>
      <c r="B213" s="43"/>
      <c r="D213" s="43"/>
      <c r="E213" s="44"/>
      <c r="F213" s="44"/>
    </row>
    <row r="214" spans="1:6">
      <c r="B214" s="43"/>
      <c r="D214" s="43"/>
      <c r="E214" s="44"/>
      <c r="F214" s="44"/>
    </row>
    <row r="215" spans="1:6">
      <c r="A215" s="1" t="s">
        <v>162</v>
      </c>
      <c r="B215" s="43"/>
      <c r="D215" s="43"/>
      <c r="E215" s="44"/>
      <c r="F215" s="44"/>
    </row>
    <row r="216" spans="1:6">
      <c r="B216" s="43"/>
      <c r="D216" s="43"/>
      <c r="E216" s="44"/>
      <c r="F216" s="44"/>
    </row>
    <row r="217" spans="1:6">
      <c r="A217" s="1" t="s">
        <v>163</v>
      </c>
      <c r="B217" s="43" t="s">
        <v>164</v>
      </c>
      <c r="C217" s="1" t="s">
        <v>165</v>
      </c>
      <c r="D217" s="45" t="s">
        <v>31</v>
      </c>
      <c r="E217" s="44"/>
      <c r="F217" s="44"/>
    </row>
    <row r="218" spans="1:6">
      <c r="A218" s="1">
        <v>65</v>
      </c>
      <c r="B218" s="8">
        <v>990000</v>
      </c>
      <c r="C218" s="44">
        <f t="shared" ref="C218:C238" si="24">+E185</f>
        <v>30600</v>
      </c>
      <c r="D218" s="43">
        <f t="shared" ref="D218:D238" si="25">B218+C218</f>
        <v>1020600</v>
      </c>
      <c r="E218" s="44"/>
      <c r="F218" s="44"/>
    </row>
    <row r="219" spans="1:6">
      <c r="A219" s="1">
        <v>66</v>
      </c>
      <c r="B219" s="13">
        <v>980700</v>
      </c>
      <c r="C219" s="44">
        <f t="shared" si="24"/>
        <v>61812</v>
      </c>
      <c r="D219" s="43">
        <f t="shared" si="25"/>
        <v>1042512</v>
      </c>
      <c r="E219" s="44"/>
      <c r="F219" s="44"/>
    </row>
    <row r="220" spans="1:6">
      <c r="A220" s="1">
        <v>67</v>
      </c>
      <c r="B220" s="13">
        <v>972171</v>
      </c>
      <c r="C220" s="44">
        <f t="shared" si="24"/>
        <v>93648.24</v>
      </c>
      <c r="D220" s="43">
        <f t="shared" si="25"/>
        <v>1065819.24</v>
      </c>
      <c r="E220" s="44"/>
      <c r="F220" s="44"/>
    </row>
    <row r="221" spans="1:6">
      <c r="A221" s="1">
        <v>68</v>
      </c>
      <c r="B221" s="13">
        <v>964488.63</v>
      </c>
      <c r="C221" s="44">
        <f t="shared" si="24"/>
        <v>126121.20480000001</v>
      </c>
      <c r="D221" s="43">
        <f t="shared" si="25"/>
        <v>1090609.8348000001</v>
      </c>
    </row>
    <row r="222" spans="1:6">
      <c r="A222" s="1">
        <v>69</v>
      </c>
      <c r="B222" s="13">
        <v>957733.41390000004</v>
      </c>
      <c r="C222" s="44">
        <f t="shared" si="24"/>
        <v>159243.62889600001</v>
      </c>
      <c r="D222" s="43">
        <f t="shared" si="25"/>
        <v>1116977.0427960001</v>
      </c>
    </row>
    <row r="223" spans="1:6">
      <c r="A223" s="1">
        <v>70</v>
      </c>
      <c r="B223" s="13">
        <v>951991.04756700003</v>
      </c>
      <c r="C223" s="44">
        <f t="shared" si="24"/>
        <v>193028.50147392001</v>
      </c>
      <c r="D223" s="43">
        <f t="shared" si="25"/>
        <v>1145019.5490409201</v>
      </c>
    </row>
    <row r="224" spans="1:6">
      <c r="A224" s="6">
        <v>71</v>
      </c>
      <c r="B224" s="13">
        <v>947352.69180650997</v>
      </c>
      <c r="C224" s="44">
        <f t="shared" si="24"/>
        <v>227489.07150339842</v>
      </c>
      <c r="D224" s="43">
        <f t="shared" si="25"/>
        <v>1174841.7633099083</v>
      </c>
    </row>
    <row r="225" spans="1:4">
      <c r="A225" s="1">
        <v>72</v>
      </c>
      <c r="B225" s="13">
        <v>943915.28101383033</v>
      </c>
      <c r="C225" s="44">
        <f t="shared" si="24"/>
        <v>262638.85293346638</v>
      </c>
      <c r="D225" s="43">
        <f t="shared" si="25"/>
        <v>1206554.1339472968</v>
      </c>
    </row>
    <row r="226" spans="1:4">
      <c r="A226" s="1">
        <v>73</v>
      </c>
      <c r="B226" s="13">
        <v>941781.84832002665</v>
      </c>
      <c r="C226" s="44">
        <f t="shared" si="24"/>
        <v>298491.62999213568</v>
      </c>
      <c r="D226" s="43">
        <f t="shared" si="25"/>
        <v>1240273.4783121622</v>
      </c>
    </row>
    <row r="227" spans="1:4">
      <c r="A227" s="1">
        <v>74</v>
      </c>
      <c r="B227" s="13">
        <v>941061.8680891979</v>
      </c>
      <c r="C227" s="44">
        <f t="shared" si="24"/>
        <v>335061.46259197843</v>
      </c>
      <c r="D227" s="43">
        <f t="shared" si="25"/>
        <v>1276123.3306811764</v>
      </c>
    </row>
    <row r="228" spans="1:4">
      <c r="A228" s="1">
        <v>75</v>
      </c>
      <c r="B228" s="13">
        <v>941871.6166674227</v>
      </c>
      <c r="C228" s="44">
        <f t="shared" si="24"/>
        <v>372362.691843818</v>
      </c>
      <c r="D228" s="43">
        <f t="shared" si="25"/>
        <v>1314234.3085112406</v>
      </c>
    </row>
    <row r="229" spans="1:4">
      <c r="A229" s="1">
        <v>76</v>
      </c>
      <c r="B229" s="13">
        <v>944334.55232977169</v>
      </c>
      <c r="C229" s="44">
        <f t="shared" si="24"/>
        <v>410409.94568069436</v>
      </c>
      <c r="D229" s="43">
        <f t="shared" si="25"/>
        <v>1354744.4980104661</v>
      </c>
    </row>
    <row r="230" spans="1:4">
      <c r="A230" s="1">
        <v>77</v>
      </c>
      <c r="B230" s="13">
        <v>948581.71542010736</v>
      </c>
      <c r="C230" s="44">
        <f t="shared" si="24"/>
        <v>449218.14459430828</v>
      </c>
      <c r="D230" s="43">
        <f t="shared" si="25"/>
        <v>1397799.8600144156</v>
      </c>
    </row>
    <row r="231" spans="1:4">
      <c r="A231" s="1">
        <v>78</v>
      </c>
      <c r="B231" s="13">
        <v>954752.14972917538</v>
      </c>
      <c r="C231" s="44">
        <f t="shared" si="24"/>
        <v>488802.50748619449</v>
      </c>
      <c r="D231" s="43">
        <f t="shared" si="25"/>
        <v>1443554.6572153699</v>
      </c>
    </row>
    <row r="232" spans="1:4">
      <c r="A232" s="1">
        <v>79</v>
      </c>
      <c r="B232" s="13">
        <v>962993.34620983875</v>
      </c>
      <c r="C232" s="44">
        <f t="shared" si="24"/>
        <v>529178.55763591838</v>
      </c>
      <c r="D232" s="43">
        <f t="shared" si="25"/>
        <v>1492171.9038457572</v>
      </c>
    </row>
    <row r="233" spans="1:4">
      <c r="A233" s="1">
        <v>80</v>
      </c>
      <c r="B233" s="13">
        <v>973461.71018436109</v>
      </c>
      <c r="C233" s="44">
        <f t="shared" si="24"/>
        <v>570362.12878863676</v>
      </c>
      <c r="D233" s="43">
        <f t="shared" si="25"/>
        <v>1543823.8389729979</v>
      </c>
    </row>
    <row r="234" spans="1:4">
      <c r="A234" s="1">
        <v>81</v>
      </c>
      <c r="B234" s="13">
        <v>986323.05325753056</v>
      </c>
      <c r="C234" s="44">
        <f t="shared" si="24"/>
        <v>612369.37136440957</v>
      </c>
      <c r="D234" s="43">
        <f t="shared" si="25"/>
        <v>1598692.4246219401</v>
      </c>
    </row>
    <row r="235" spans="1:4">
      <c r="A235" s="1">
        <v>82</v>
      </c>
      <c r="B235" s="13">
        <v>1001753.1112112775</v>
      </c>
      <c r="C235" s="44">
        <f t="shared" si="24"/>
        <v>655216.75879169779</v>
      </c>
      <c r="D235" s="43">
        <f t="shared" si="25"/>
        <v>1656969.8700029752</v>
      </c>
    </row>
    <row r="236" spans="1:4">
      <c r="A236" s="1">
        <v>83</v>
      </c>
      <c r="B236" s="13">
        <v>1019938.0892214377</v>
      </c>
      <c r="C236" s="44">
        <f t="shared" si="24"/>
        <v>698921.09396753181</v>
      </c>
      <c r="D236" s="43">
        <f t="shared" si="25"/>
        <v>1718859.1831889695</v>
      </c>
    </row>
    <row r="237" spans="1:4">
      <c r="A237" s="1">
        <v>84</v>
      </c>
      <c r="B237" s="13">
        <v>1041075.2358055939</v>
      </c>
      <c r="C237" s="44">
        <f t="shared" si="24"/>
        <v>743499.51584688248</v>
      </c>
      <c r="D237" s="43">
        <f t="shared" si="25"/>
        <v>1784574.7516524764</v>
      </c>
    </row>
    <row r="238" spans="1:4">
      <c r="A238" s="1">
        <v>85</v>
      </c>
      <c r="B238" s="13">
        <v>1065373.4469826503</v>
      </c>
      <c r="C238" s="44">
        <f t="shared" si="24"/>
        <v>788969.50616382016</v>
      </c>
      <c r="D238" s="43">
        <f t="shared" si="25"/>
        <v>1854342.9531464705</v>
      </c>
    </row>
    <row r="239" spans="1:4">
      <c r="B239" s="13"/>
    </row>
    <row r="240" spans="1:4">
      <c r="B240" s="13"/>
    </row>
    <row r="241" spans="2:2">
      <c r="B241" s="13"/>
    </row>
    <row r="242" spans="2:2">
      <c r="B242" s="13"/>
    </row>
  </sheetData>
  <sheetProtection selectLockedCells="1" selectUnlockedCells="1"/>
  <pageMargins left="0.78749999999999998" right="0.78749999999999998" top="1.0527777777777778" bottom="1.0527777777777778" header="0.78749999999999998" footer="0.78749999999999998"/>
  <pageSetup paperSize="9" firstPageNumber="0" orientation="landscape" horizontalDpi="300" verticalDpi="300"/>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0" workbookViewId="0">
      <selection activeCell="A39" sqref="A39"/>
    </sheetView>
  </sheetViews>
  <sheetFormatPr defaultColWidth="11.5546875" defaultRowHeight="13.2"/>
  <cols>
    <col min="1" max="16384" width="11.5546875" style="1"/>
  </cols>
  <sheetData>
    <row r="1" spans="1:6">
      <c r="A1" s="1" t="s">
        <v>166</v>
      </c>
    </row>
    <row r="3" spans="1:6">
      <c r="A3" s="1" t="s">
        <v>167</v>
      </c>
    </row>
    <row r="4" spans="1:6">
      <c r="A4" s="1" t="s">
        <v>168</v>
      </c>
    </row>
    <row r="5" spans="1:6">
      <c r="A5" s="1" t="s">
        <v>169</v>
      </c>
    </row>
    <row r="7" spans="1:6">
      <c r="A7" s="1" t="s">
        <v>170</v>
      </c>
    </row>
    <row r="8" spans="1:6">
      <c r="A8" s="1" t="s">
        <v>171</v>
      </c>
      <c r="B8" s="1" t="s">
        <v>172</v>
      </c>
      <c r="C8" s="1" t="s">
        <v>173</v>
      </c>
      <c r="D8" s="1" t="s">
        <v>174</v>
      </c>
      <c r="E8" s="1" t="s">
        <v>175</v>
      </c>
      <c r="F8" s="1" t="s">
        <v>65</v>
      </c>
    </row>
    <row r="9" spans="1:6">
      <c r="F9" s="1">
        <v>0.06</v>
      </c>
    </row>
    <row r="10" spans="1:6">
      <c r="A10" s="1">
        <v>225000</v>
      </c>
      <c r="B10" s="1">
        <v>33046</v>
      </c>
      <c r="C10" s="1">
        <v>13520</v>
      </c>
      <c r="D10" s="1">
        <f>B10+C10</f>
        <v>46566</v>
      </c>
      <c r="E10" s="1">
        <v>1000000</v>
      </c>
      <c r="F10" s="1">
        <f>E10*$F$9</f>
        <v>60000</v>
      </c>
    </row>
    <row r="12" spans="1:6">
      <c r="A12" s="1">
        <v>125000</v>
      </c>
      <c r="B12" s="1">
        <v>33046</v>
      </c>
      <c r="C12" s="1">
        <v>7462</v>
      </c>
      <c r="D12" s="1">
        <f>B12+C12</f>
        <v>40508</v>
      </c>
      <c r="E12" s="1">
        <f>E10</f>
        <v>1000000</v>
      </c>
      <c r="F12" s="1">
        <f>E12*$F$9</f>
        <v>60000</v>
      </c>
    </row>
    <row r="15" spans="1:6">
      <c r="A15" s="1" t="s">
        <v>176</v>
      </c>
    </row>
    <row r="17" spans="1:4">
      <c r="A17" s="1" t="s">
        <v>177</v>
      </c>
      <c r="B17" s="1" t="s">
        <v>36</v>
      </c>
      <c r="C17" s="1" t="s">
        <v>36</v>
      </c>
    </row>
    <row r="18" spans="1:4">
      <c r="A18" s="1" t="s">
        <v>30</v>
      </c>
      <c r="B18" s="1" t="s">
        <v>30</v>
      </c>
      <c r="C18" s="1" t="s">
        <v>178</v>
      </c>
    </row>
    <row r="20" spans="1:4">
      <c r="A20" s="1">
        <f>E10</f>
        <v>1000000</v>
      </c>
      <c r="B20" s="1">
        <v>600000</v>
      </c>
      <c r="C20" s="1">
        <f>A20-B20</f>
        <v>400000</v>
      </c>
    </row>
    <row r="22" spans="1:4">
      <c r="A22" s="1" t="s">
        <v>179</v>
      </c>
      <c r="B22" s="1" t="s">
        <v>172</v>
      </c>
      <c r="C22" s="1" t="s">
        <v>173</v>
      </c>
      <c r="D22" s="1" t="s">
        <v>174</v>
      </c>
    </row>
    <row r="23" spans="1:4">
      <c r="A23" s="1">
        <f>C20+A10</f>
        <v>625000</v>
      </c>
      <c r="B23" s="1">
        <v>22100</v>
      </c>
      <c r="C23" s="1">
        <v>42432</v>
      </c>
      <c r="D23" s="1">
        <f>B23+C23</f>
        <v>64532</v>
      </c>
    </row>
    <row r="25" spans="1:4">
      <c r="A25" s="1" t="s">
        <v>177</v>
      </c>
      <c r="B25" s="1" t="s">
        <v>36</v>
      </c>
      <c r="C25" s="1" t="s">
        <v>36</v>
      </c>
    </row>
    <row r="26" spans="1:4">
      <c r="A26" s="1" t="s">
        <v>30</v>
      </c>
      <c r="B26" s="1" t="s">
        <v>30</v>
      </c>
      <c r="C26" s="1" t="s">
        <v>178</v>
      </c>
    </row>
    <row r="28" spans="1:4">
      <c r="A28" s="1">
        <v>1000000</v>
      </c>
      <c r="B28" s="1">
        <v>700000</v>
      </c>
      <c r="C28" s="1">
        <f>A28-B28</f>
        <v>300000</v>
      </c>
    </row>
    <row r="30" spans="1:4">
      <c r="A30" s="1" t="s">
        <v>179</v>
      </c>
      <c r="B30" s="1" t="s">
        <v>172</v>
      </c>
      <c r="C30" s="1" t="s">
        <v>173</v>
      </c>
      <c r="D30" s="1" t="s">
        <v>174</v>
      </c>
    </row>
    <row r="32" spans="1:4">
      <c r="A32" s="1">
        <f>C28+A12</f>
        <v>425000</v>
      </c>
      <c r="B32" s="1">
        <v>28964</v>
      </c>
      <c r="C32" s="1">
        <v>27378</v>
      </c>
      <c r="D32" s="1">
        <f>+B32+C32</f>
        <v>56342</v>
      </c>
    </row>
    <row r="34" spans="1:3">
      <c r="A34" s="1" t="s">
        <v>180</v>
      </c>
    </row>
    <row r="35" spans="1:3">
      <c r="A35" s="1" t="s">
        <v>181</v>
      </c>
    </row>
    <row r="37" spans="1:3">
      <c r="A37" s="1" t="s">
        <v>179</v>
      </c>
      <c r="B37" s="1" t="s">
        <v>182</v>
      </c>
      <c r="C37" s="1" t="s">
        <v>183</v>
      </c>
    </row>
    <row r="39" spans="1:3">
      <c r="A39" s="1">
        <v>1000000</v>
      </c>
      <c r="B39" s="1">
        <v>0.06</v>
      </c>
      <c r="C39" s="1">
        <f>B39*A39</f>
        <v>60000</v>
      </c>
    </row>
    <row r="40" spans="1:3">
      <c r="A40" s="1">
        <v>1500000</v>
      </c>
      <c r="B40" s="1">
        <v>0.06</v>
      </c>
      <c r="C40" s="1">
        <f>B40*A40</f>
        <v>90000</v>
      </c>
    </row>
    <row r="41" spans="1:3">
      <c r="A41" s="1">
        <v>2000000</v>
      </c>
      <c r="B41" s="1">
        <v>0.06</v>
      </c>
      <c r="C41" s="1">
        <f>B41*A41</f>
        <v>120000</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workbookViewId="0">
      <selection activeCell="A18" sqref="A18"/>
    </sheetView>
  </sheetViews>
  <sheetFormatPr defaultColWidth="11.5546875" defaultRowHeight="13.2"/>
  <cols>
    <col min="1" max="1" width="42.5546875" style="1" customWidth="1"/>
    <col min="2" max="22" width="11.5546875" style="1"/>
    <col min="23" max="24" width="33.44140625" style="1" customWidth="1"/>
    <col min="25" max="26" width="11.5546875" style="1"/>
    <col min="27" max="27" width="33.44140625" style="1" customWidth="1"/>
    <col min="28" max="28" width="13.109375" style="1" customWidth="1"/>
    <col min="29" max="29" width="16.109375" style="1" customWidth="1"/>
    <col min="30" max="30" width="10.88671875" style="1" customWidth="1"/>
    <col min="31" max="16384" width="11.5546875" style="1"/>
  </cols>
  <sheetData>
    <row r="1" spans="1:30">
      <c r="A1" s="16" t="s">
        <v>184</v>
      </c>
      <c r="B1" s="16"/>
      <c r="C1" s="3"/>
      <c r="D1" s="16"/>
      <c r="E1" s="16"/>
      <c r="F1" s="16"/>
      <c r="G1" s="16"/>
      <c r="H1" s="3"/>
      <c r="I1" s="3"/>
      <c r="J1" s="16"/>
      <c r="K1" s="16"/>
      <c r="L1" s="16"/>
      <c r="M1" s="16"/>
      <c r="N1" s="16"/>
      <c r="O1" s="16"/>
      <c r="P1" s="16"/>
      <c r="Q1" s="16"/>
      <c r="R1" s="16"/>
      <c r="S1" s="16"/>
      <c r="T1" s="16"/>
      <c r="U1" s="16"/>
    </row>
    <row r="2" spans="1:30">
      <c r="A2" s="49" t="s">
        <v>185</v>
      </c>
      <c r="C2" s="3"/>
      <c r="D2" s="16"/>
      <c r="E2" s="16"/>
      <c r="F2" s="16"/>
      <c r="G2" s="16"/>
      <c r="H2" s="3"/>
      <c r="I2" s="3"/>
      <c r="J2" s="16"/>
      <c r="K2" s="16"/>
      <c r="L2" s="16"/>
      <c r="M2" s="16"/>
      <c r="N2" s="16"/>
      <c r="O2" s="16"/>
      <c r="P2" s="16"/>
      <c r="Q2" s="16"/>
      <c r="R2" s="16"/>
      <c r="S2" s="16"/>
      <c r="T2" s="16"/>
      <c r="U2" s="16"/>
    </row>
    <row r="3" spans="1:30">
      <c r="A3" s="49" t="s">
        <v>186</v>
      </c>
      <c r="C3" s="3"/>
      <c r="D3" s="16"/>
      <c r="E3" s="16"/>
      <c r="F3" s="16"/>
      <c r="G3" s="16"/>
      <c r="H3" s="3"/>
      <c r="I3" s="3"/>
      <c r="J3" s="16"/>
      <c r="K3" s="16"/>
      <c r="L3" s="16"/>
      <c r="M3" s="16"/>
      <c r="N3" s="16"/>
      <c r="O3" s="16"/>
      <c r="P3" s="16"/>
      <c r="Q3" s="16"/>
      <c r="R3" s="16"/>
      <c r="S3" s="16"/>
      <c r="T3" s="16"/>
      <c r="U3" s="16"/>
      <c r="V3" s="16"/>
      <c r="W3" s="16"/>
      <c r="X3" s="16"/>
      <c r="Y3" s="16"/>
    </row>
    <row r="4" spans="1:30">
      <c r="A4" s="50" t="s">
        <v>187</v>
      </c>
      <c r="B4" s="16"/>
      <c r="C4" s="3"/>
      <c r="D4" s="16"/>
      <c r="E4" s="16"/>
      <c r="F4" s="16"/>
      <c r="G4" s="16"/>
      <c r="H4" s="3"/>
      <c r="I4" s="3"/>
      <c r="J4" s="16"/>
      <c r="K4" s="16"/>
      <c r="L4" s="16"/>
      <c r="M4" s="16"/>
      <c r="N4" s="16"/>
      <c r="O4" s="16"/>
      <c r="P4" s="16"/>
      <c r="Q4" s="16"/>
      <c r="R4" s="16"/>
      <c r="S4" s="16"/>
      <c r="T4" s="16"/>
      <c r="U4" s="16"/>
      <c r="V4" s="16"/>
      <c r="W4" s="16"/>
      <c r="X4" s="16"/>
      <c r="Y4" s="16"/>
    </row>
    <row r="5" spans="1:30">
      <c r="A5" s="16"/>
      <c r="B5" s="16" t="s">
        <v>25</v>
      </c>
      <c r="C5" s="3"/>
      <c r="D5" s="16">
        <v>1</v>
      </c>
      <c r="E5" s="16">
        <v>2</v>
      </c>
      <c r="F5" s="16">
        <v>3</v>
      </c>
      <c r="G5" s="16">
        <v>4</v>
      </c>
      <c r="H5" s="3">
        <v>5</v>
      </c>
      <c r="I5" s="3">
        <v>6</v>
      </c>
      <c r="J5" s="16">
        <v>7</v>
      </c>
      <c r="K5" s="16">
        <v>8</v>
      </c>
      <c r="L5" s="16">
        <v>9</v>
      </c>
      <c r="M5" s="16">
        <v>10</v>
      </c>
      <c r="N5" s="16">
        <v>11</v>
      </c>
      <c r="O5" s="16">
        <v>12</v>
      </c>
      <c r="P5" s="16">
        <v>13</v>
      </c>
      <c r="Q5" s="16">
        <v>14</v>
      </c>
      <c r="R5" s="16">
        <v>15</v>
      </c>
      <c r="S5" s="16">
        <v>16</v>
      </c>
      <c r="T5" s="16">
        <v>17</v>
      </c>
      <c r="U5" s="16">
        <v>18</v>
      </c>
      <c r="V5" s="16">
        <v>19</v>
      </c>
      <c r="W5" s="16"/>
      <c r="X5" s="51"/>
      <c r="Y5" s="52">
        <v>21</v>
      </c>
      <c r="Z5" s="53"/>
    </row>
    <row r="6" spans="1:30">
      <c r="A6" s="17" t="s">
        <v>163</v>
      </c>
      <c r="B6" s="17"/>
      <c r="C6" s="2"/>
      <c r="D6" s="18">
        <v>65</v>
      </c>
      <c r="E6" s="18">
        <v>66</v>
      </c>
      <c r="F6" s="18">
        <v>67</v>
      </c>
      <c r="G6" s="18">
        <v>68</v>
      </c>
      <c r="H6" s="18">
        <v>69</v>
      </c>
      <c r="I6" s="18">
        <v>70</v>
      </c>
      <c r="J6" s="18">
        <v>71</v>
      </c>
      <c r="K6" s="18">
        <v>72</v>
      </c>
      <c r="L6" s="18">
        <v>73</v>
      </c>
      <c r="M6" s="18">
        <v>74</v>
      </c>
      <c r="N6" s="18">
        <v>75</v>
      </c>
      <c r="O6" s="18">
        <v>76</v>
      </c>
      <c r="P6" s="18">
        <v>77</v>
      </c>
      <c r="Q6" s="18">
        <v>78</v>
      </c>
      <c r="R6" s="18">
        <v>80</v>
      </c>
      <c r="S6" s="18">
        <v>81</v>
      </c>
      <c r="T6" s="18">
        <v>82</v>
      </c>
      <c r="U6" s="18">
        <v>83</v>
      </c>
      <c r="V6" s="18">
        <v>84</v>
      </c>
      <c r="W6" s="18"/>
      <c r="X6" s="54"/>
      <c r="Y6" s="18"/>
      <c r="Z6" s="55"/>
      <c r="AA6" s="56"/>
      <c r="AB6" s="57"/>
      <c r="AC6" s="57"/>
      <c r="AD6" s="53"/>
    </row>
    <row r="7" spans="1:30">
      <c r="F7" s="15"/>
      <c r="G7" s="15"/>
      <c r="H7" s="23"/>
      <c r="I7" s="23"/>
      <c r="J7" s="15"/>
      <c r="K7" s="15"/>
      <c r="L7" s="15"/>
      <c r="M7" s="15"/>
      <c r="N7" s="15"/>
      <c r="O7" s="15"/>
      <c r="P7" s="15"/>
      <c r="Q7" s="15"/>
      <c r="R7" s="15"/>
      <c r="S7" s="15"/>
      <c r="T7" s="15"/>
      <c r="U7" s="15"/>
      <c r="V7" s="15"/>
      <c r="W7" s="15"/>
      <c r="X7" s="58"/>
      <c r="Y7" s="15"/>
      <c r="Z7" s="55"/>
      <c r="AA7" s="59"/>
      <c r="AB7" s="16" t="s">
        <v>188</v>
      </c>
      <c r="AD7" s="55"/>
    </row>
    <row r="8" spans="1:30">
      <c r="A8" s="1" t="s">
        <v>64</v>
      </c>
      <c r="C8" s="12">
        <v>1</v>
      </c>
      <c r="D8" s="12">
        <f t="shared" ref="D8:V8" si="0">+C8</f>
        <v>1</v>
      </c>
      <c r="E8" s="12">
        <f t="shared" si="0"/>
        <v>1</v>
      </c>
      <c r="F8" s="12">
        <f t="shared" si="0"/>
        <v>1</v>
      </c>
      <c r="G8" s="12">
        <f t="shared" si="0"/>
        <v>1</v>
      </c>
      <c r="H8" s="12">
        <f t="shared" si="0"/>
        <v>1</v>
      </c>
      <c r="I8" s="12">
        <f t="shared" si="0"/>
        <v>1</v>
      </c>
      <c r="J8" s="12">
        <f t="shared" si="0"/>
        <v>1</v>
      </c>
      <c r="K8" s="12">
        <f t="shared" si="0"/>
        <v>1</v>
      </c>
      <c r="L8" s="12">
        <f t="shared" si="0"/>
        <v>1</v>
      </c>
      <c r="M8" s="12">
        <f t="shared" si="0"/>
        <v>1</v>
      </c>
      <c r="N8" s="12">
        <f t="shared" si="0"/>
        <v>1</v>
      </c>
      <c r="O8" s="12">
        <f t="shared" si="0"/>
        <v>1</v>
      </c>
      <c r="P8" s="12">
        <f t="shared" si="0"/>
        <v>1</v>
      </c>
      <c r="Q8" s="12">
        <f t="shared" si="0"/>
        <v>1</v>
      </c>
      <c r="R8" s="12">
        <f t="shared" si="0"/>
        <v>1</v>
      </c>
      <c r="S8" s="12">
        <f t="shared" si="0"/>
        <v>1</v>
      </c>
      <c r="T8" s="12">
        <f t="shared" si="0"/>
        <v>1</v>
      </c>
      <c r="U8" s="12">
        <f t="shared" si="0"/>
        <v>1</v>
      </c>
      <c r="V8" s="12">
        <f t="shared" si="0"/>
        <v>1</v>
      </c>
      <c r="W8" s="12"/>
      <c r="X8" s="59" t="s">
        <v>64</v>
      </c>
      <c r="Y8" s="12"/>
      <c r="Z8" s="60"/>
      <c r="AA8" s="59" t="s">
        <v>64</v>
      </c>
      <c r="AB8" s="13">
        <v>1000</v>
      </c>
      <c r="AC8" s="13">
        <v>100000</v>
      </c>
      <c r="AD8" s="60"/>
    </row>
    <row r="9" spans="1:30">
      <c r="A9" s="16" t="s">
        <v>65</v>
      </c>
      <c r="B9" s="61">
        <v>0.85</v>
      </c>
      <c r="C9" s="62">
        <v>0</v>
      </c>
      <c r="D9" s="62">
        <f t="shared" ref="D9:V9" si="1">+D15*$B$9</f>
        <v>35700</v>
      </c>
      <c r="E9" s="62">
        <f t="shared" si="1"/>
        <v>25228</v>
      </c>
      <c r="F9" s="62">
        <f t="shared" si="1"/>
        <v>26237.120000000057</v>
      </c>
      <c r="G9" s="62">
        <f t="shared" si="1"/>
        <v>27286.60480000003</v>
      </c>
      <c r="H9" s="62">
        <f t="shared" si="1"/>
        <v>28378.06899199999</v>
      </c>
      <c r="I9" s="62">
        <f t="shared" si="1"/>
        <v>29513.191751679999</v>
      </c>
      <c r="J9" s="62">
        <f t="shared" si="1"/>
        <v>30693.719421747275</v>
      </c>
      <c r="K9" s="62">
        <f t="shared" si="1"/>
        <v>31921.468198617167</v>
      </c>
      <c r="L9" s="62">
        <f t="shared" si="1"/>
        <v>33198.326926561764</v>
      </c>
      <c r="M9" s="62">
        <f t="shared" si="1"/>
        <v>34526.260003624229</v>
      </c>
      <c r="N9" s="62">
        <f t="shared" si="1"/>
        <v>35907.310403769319</v>
      </c>
      <c r="O9" s="62">
        <f t="shared" si="1"/>
        <v>37343.602819919994</v>
      </c>
      <c r="P9" s="62">
        <f t="shared" si="1"/>
        <v>38837.346932716908</v>
      </c>
      <c r="Q9" s="62">
        <f t="shared" si="1"/>
        <v>40390.840810025562</v>
      </c>
      <c r="R9" s="62">
        <f t="shared" si="1"/>
        <v>42006.47444242645</v>
      </c>
      <c r="S9" s="62">
        <f t="shared" si="1"/>
        <v>43686.733420123615</v>
      </c>
      <c r="T9" s="62">
        <f t="shared" si="1"/>
        <v>45434.202756928607</v>
      </c>
      <c r="U9" s="62">
        <f t="shared" si="1"/>
        <v>47251.570867205679</v>
      </c>
      <c r="V9" s="62">
        <f t="shared" si="1"/>
        <v>49141.633701893828</v>
      </c>
      <c r="W9" s="62"/>
      <c r="X9" s="63"/>
      <c r="Y9" s="62"/>
      <c r="Z9" s="64"/>
      <c r="AA9" s="63"/>
      <c r="AB9" s="62"/>
      <c r="AC9" s="62"/>
      <c r="AD9" s="65"/>
    </row>
    <row r="10" spans="1:30">
      <c r="A10" s="1" t="s">
        <v>189</v>
      </c>
      <c r="B10" s="13"/>
      <c r="C10" s="13"/>
      <c r="D10" s="13">
        <f t="shared" ref="D10:V10" si="2">+D9/12</f>
        <v>2975</v>
      </c>
      <c r="E10" s="13">
        <f t="shared" si="2"/>
        <v>2102.3333333333335</v>
      </c>
      <c r="F10" s="13">
        <f t="shared" si="2"/>
        <v>2186.4266666666713</v>
      </c>
      <c r="G10" s="13">
        <f t="shared" si="2"/>
        <v>2273.8837333333358</v>
      </c>
      <c r="H10" s="13">
        <f t="shared" si="2"/>
        <v>2364.8390826666659</v>
      </c>
      <c r="I10" s="13">
        <f t="shared" si="2"/>
        <v>2459.4326459733334</v>
      </c>
      <c r="J10" s="13">
        <f t="shared" si="2"/>
        <v>2557.8099518122731</v>
      </c>
      <c r="K10" s="13">
        <f t="shared" si="2"/>
        <v>2660.1223498847639</v>
      </c>
      <c r="L10" s="13">
        <f t="shared" si="2"/>
        <v>2766.5272438801471</v>
      </c>
      <c r="M10" s="13">
        <f t="shared" si="2"/>
        <v>2877.1883336353526</v>
      </c>
      <c r="N10" s="13">
        <f t="shared" si="2"/>
        <v>2992.2758669807768</v>
      </c>
      <c r="O10" s="13">
        <f t="shared" si="2"/>
        <v>3111.9669016599996</v>
      </c>
      <c r="P10" s="13">
        <f t="shared" si="2"/>
        <v>3236.4455777264088</v>
      </c>
      <c r="Q10" s="13">
        <f t="shared" si="2"/>
        <v>3365.9034008354633</v>
      </c>
      <c r="R10" s="13">
        <f t="shared" si="2"/>
        <v>3500.539536868871</v>
      </c>
      <c r="S10" s="13">
        <f t="shared" si="2"/>
        <v>3640.5611183436345</v>
      </c>
      <c r="T10" s="13">
        <f t="shared" si="2"/>
        <v>3786.183563077384</v>
      </c>
      <c r="U10" s="13">
        <f t="shared" si="2"/>
        <v>3937.6309056004734</v>
      </c>
      <c r="V10" s="13">
        <f t="shared" si="2"/>
        <v>4095.1361418244855</v>
      </c>
      <c r="W10" s="13"/>
      <c r="X10" s="59" t="s">
        <v>189</v>
      </c>
      <c r="Y10" s="13"/>
      <c r="Z10" s="66"/>
      <c r="AA10" s="59" t="s">
        <v>189</v>
      </c>
      <c r="AB10" s="13"/>
      <c r="AC10" s="13"/>
      <c r="AD10" s="60"/>
    </row>
    <row r="11" spans="1:30">
      <c r="A11" s="12" t="s">
        <v>190</v>
      </c>
      <c r="C11" s="13">
        <f>(+C8*C9)</f>
        <v>0</v>
      </c>
      <c r="D11" s="13">
        <f>+D9</f>
        <v>35700</v>
      </c>
      <c r="E11" s="13">
        <f t="shared" ref="E11:V11" si="3">+D21+E9</f>
        <v>62356</v>
      </c>
      <c r="F11" s="13">
        <f t="shared" si="3"/>
        <v>91087.360000000059</v>
      </c>
      <c r="G11" s="13">
        <f t="shared" si="3"/>
        <v>122017.4592000001</v>
      </c>
      <c r="H11" s="13">
        <f t="shared" si="3"/>
        <v>155276.2265600001</v>
      </c>
      <c r="I11" s="13">
        <f t="shared" si="3"/>
        <v>191000.46737408009</v>
      </c>
      <c r="J11" s="13">
        <f t="shared" si="3"/>
        <v>229334.20549079057</v>
      </c>
      <c r="K11" s="13">
        <f t="shared" si="3"/>
        <v>270429.04190903937</v>
      </c>
      <c r="L11" s="13">
        <f t="shared" si="3"/>
        <v>314444.53051196272</v>
      </c>
      <c r="M11" s="13">
        <f t="shared" si="3"/>
        <v>361548.57173606544</v>
      </c>
      <c r="N11" s="13">
        <f t="shared" si="3"/>
        <v>411917.82500927732</v>
      </c>
      <c r="O11" s="13">
        <f t="shared" si="3"/>
        <v>465738.14082956844</v>
      </c>
      <c r="P11" s="13">
        <f t="shared" si="3"/>
        <v>523205.01339546812</v>
      </c>
      <c r="Q11" s="13">
        <f t="shared" si="3"/>
        <v>584524.05474131252</v>
      </c>
      <c r="R11" s="13">
        <f t="shared" si="3"/>
        <v>649911.49137339147</v>
      </c>
      <c r="S11" s="13">
        <f t="shared" si="3"/>
        <v>719594.68444845069</v>
      </c>
      <c r="T11" s="13">
        <f t="shared" si="3"/>
        <v>793812.67458331736</v>
      </c>
      <c r="U11" s="13">
        <f t="shared" si="3"/>
        <v>872816.75243385579</v>
      </c>
      <c r="V11" s="13">
        <f t="shared" si="3"/>
        <v>956871.05623310385</v>
      </c>
      <c r="W11" s="13"/>
      <c r="X11" s="54" t="s">
        <v>190</v>
      </c>
      <c r="Y11" s="13">
        <f>+V11</f>
        <v>956871.05623310385</v>
      </c>
      <c r="Z11" s="66"/>
      <c r="AA11" s="54" t="s">
        <v>190</v>
      </c>
      <c r="AB11" s="13">
        <f>+AB8*Y11</f>
        <v>956871056.23310387</v>
      </c>
      <c r="AC11" s="13">
        <f>+AC8*Y11</f>
        <v>95687105623.310379</v>
      </c>
      <c r="AD11" s="60"/>
    </row>
    <row r="12" spans="1:30">
      <c r="A12" s="1" t="s">
        <v>68</v>
      </c>
      <c r="B12" s="67"/>
      <c r="C12" s="13">
        <v>0</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c r="X12" s="59" t="s">
        <v>68</v>
      </c>
      <c r="Y12" s="13">
        <v>1</v>
      </c>
      <c r="Z12" s="64" t="s">
        <v>191</v>
      </c>
      <c r="AA12" s="59" t="s">
        <v>68</v>
      </c>
      <c r="AB12" s="13">
        <v>1000</v>
      </c>
      <c r="AC12" s="13">
        <f>+AC8</f>
        <v>100000</v>
      </c>
      <c r="AD12" s="68" t="s">
        <v>192</v>
      </c>
    </row>
    <row r="13" spans="1:30">
      <c r="A13" s="17" t="s">
        <v>193</v>
      </c>
      <c r="B13" s="69">
        <v>1.06</v>
      </c>
      <c r="C13" s="70">
        <v>700000</v>
      </c>
      <c r="D13" s="13">
        <f>+$B$13*C13</f>
        <v>742000</v>
      </c>
      <c r="E13" s="13">
        <f>+D13*Data!$C$46</f>
        <v>771680</v>
      </c>
      <c r="F13" s="13">
        <f>+E13*Data!$C$46</f>
        <v>802547.20000000007</v>
      </c>
      <c r="G13" s="13">
        <f>+F13*Data!$C$46</f>
        <v>834649.08800000011</v>
      </c>
      <c r="H13" s="13">
        <f>+G13*Data!$C$46</f>
        <v>868035.0515200001</v>
      </c>
      <c r="I13" s="13">
        <f>+H13*Data!$C$46</f>
        <v>902756.45358080009</v>
      </c>
      <c r="J13" s="13">
        <f>+I13*Data!$C$46</f>
        <v>938866.71172403218</v>
      </c>
      <c r="K13" s="13">
        <f>+J13*Data!$C$46</f>
        <v>976421.38019299356</v>
      </c>
      <c r="L13" s="13">
        <f>+K13*Data!$C$46</f>
        <v>1015478.2354007133</v>
      </c>
      <c r="M13" s="13">
        <f>+L13*Data!$C$46</f>
        <v>1056097.3648167418</v>
      </c>
      <c r="N13" s="13">
        <f>+M13*Data!$C$46</f>
        <v>1098341.2594094116</v>
      </c>
      <c r="O13" s="13">
        <f>+N13*Data!$C$46</f>
        <v>1142274.909785788</v>
      </c>
      <c r="P13" s="13">
        <f>+O13*Data!$C$46</f>
        <v>1187965.9061772197</v>
      </c>
      <c r="Q13" s="13">
        <f>+P13*Data!$C$46</f>
        <v>1235484.5424243086</v>
      </c>
      <c r="R13" s="13">
        <f>+Q13*Data!$C$46</f>
        <v>1284903.9241212809</v>
      </c>
      <c r="S13" s="13">
        <f>+R13*Data!$C$46</f>
        <v>1336300.0810861322</v>
      </c>
      <c r="T13" s="13">
        <f>+S13*Data!$C$46</f>
        <v>1389752.0843295776</v>
      </c>
      <c r="U13" s="13">
        <f>+T13*Data!$C$46</f>
        <v>1445342.1677027608</v>
      </c>
      <c r="V13" s="13">
        <f>+U13*Data!$C$46</f>
        <v>1503155.8544108712</v>
      </c>
      <c r="W13" s="13"/>
      <c r="X13" s="71" t="s">
        <v>194</v>
      </c>
      <c r="Y13" s="13">
        <f>+V13</f>
        <v>1503155.8544108712</v>
      </c>
      <c r="Z13" s="55"/>
      <c r="AA13" s="71" t="s">
        <v>194</v>
      </c>
      <c r="AB13" s="13">
        <f>+AB12*Y13</f>
        <v>1503155854.4108713</v>
      </c>
      <c r="AC13" s="72">
        <f>+AC8*Y13</f>
        <v>150315585441.08713</v>
      </c>
      <c r="AD13" s="73"/>
    </row>
    <row r="14" spans="1:30">
      <c r="A14" s="16" t="s">
        <v>195</v>
      </c>
      <c r="B14" s="74"/>
      <c r="C14" s="62"/>
      <c r="D14" s="75">
        <f t="shared" ref="D14:V14" si="4">+D13/D11</f>
        <v>20.784313725490197</v>
      </c>
      <c r="E14" s="75">
        <f t="shared" si="4"/>
        <v>12.375392905253705</v>
      </c>
      <c r="F14" s="75">
        <f t="shared" si="4"/>
        <v>8.8107416879795348</v>
      </c>
      <c r="G14" s="75">
        <f t="shared" si="4"/>
        <v>6.8404070488955027</v>
      </c>
      <c r="H14" s="75">
        <f t="shared" si="4"/>
        <v>5.5902636916835675</v>
      </c>
      <c r="I14" s="75">
        <f t="shared" si="4"/>
        <v>4.7264620133767776</v>
      </c>
      <c r="J14" s="75">
        <f t="shared" si="4"/>
        <v>4.0938799762329152</v>
      </c>
      <c r="K14" s="75">
        <f t="shared" si="4"/>
        <v>3.6106380191274705</v>
      </c>
      <c r="L14" s="75">
        <f t="shared" si="4"/>
        <v>3.2294352003749687</v>
      </c>
      <c r="M14" s="75">
        <f t="shared" si="4"/>
        <v>2.9210386857445667</v>
      </c>
      <c r="N14" s="75">
        <f t="shared" si="4"/>
        <v>2.6664086687306492</v>
      </c>
      <c r="O14" s="75">
        <f t="shared" si="4"/>
        <v>2.4526119070926393</v>
      </c>
      <c r="P14" s="75">
        <f t="shared" si="4"/>
        <v>2.2705552809359024</v>
      </c>
      <c r="Q14" s="75">
        <f t="shared" si="4"/>
        <v>2.1136590229312047</v>
      </c>
      <c r="R14" s="75">
        <f t="shared" si="4"/>
        <v>1.9770444763271147</v>
      </c>
      <c r="S14" s="75">
        <f t="shared" si="4"/>
        <v>1.8570177211778169</v>
      </c>
      <c r="T14" s="75">
        <f t="shared" si="4"/>
        <v>1.7507305297929094</v>
      </c>
      <c r="U14" s="75">
        <f t="shared" si="4"/>
        <v>1.6559514510605047</v>
      </c>
      <c r="V14" s="75">
        <f t="shared" si="4"/>
        <v>1.570907432740537</v>
      </c>
      <c r="W14" s="75"/>
      <c r="X14" s="76" t="s">
        <v>196</v>
      </c>
      <c r="Y14" s="75">
        <f>+Y13/Y11</f>
        <v>1.570907432740537</v>
      </c>
      <c r="Z14" s="65"/>
      <c r="AA14" s="76" t="s">
        <v>196</v>
      </c>
      <c r="AB14" s="75">
        <f>+AB13/AB11</f>
        <v>1.570907432740537</v>
      </c>
      <c r="AC14" s="75">
        <f>+AC13/AC11</f>
        <v>1.5709074327405372</v>
      </c>
      <c r="AD14" s="77"/>
    </row>
    <row r="15" spans="1:30">
      <c r="A15" s="16" t="s">
        <v>197</v>
      </c>
      <c r="B15" s="74"/>
      <c r="C15" s="62"/>
      <c r="D15" s="78">
        <f t="shared" ref="D15:V15" si="5">+D13-C13</f>
        <v>42000</v>
      </c>
      <c r="E15" s="78">
        <f t="shared" si="5"/>
        <v>29680</v>
      </c>
      <c r="F15" s="78">
        <f t="shared" si="5"/>
        <v>30867.20000000007</v>
      </c>
      <c r="G15" s="78">
        <f t="shared" si="5"/>
        <v>32101.888000000035</v>
      </c>
      <c r="H15" s="78">
        <f t="shared" si="5"/>
        <v>33385.96351999999</v>
      </c>
      <c r="I15" s="78">
        <f t="shared" si="5"/>
        <v>34721.402060799999</v>
      </c>
      <c r="J15" s="78">
        <f t="shared" si="5"/>
        <v>36110.258143232088</v>
      </c>
      <c r="K15" s="78">
        <f t="shared" si="5"/>
        <v>37554.668468961376</v>
      </c>
      <c r="L15" s="78">
        <f t="shared" si="5"/>
        <v>39056.855207719724</v>
      </c>
      <c r="M15" s="78">
        <f t="shared" si="5"/>
        <v>40619.129416028503</v>
      </c>
      <c r="N15" s="78">
        <f t="shared" si="5"/>
        <v>42243.894592669792</v>
      </c>
      <c r="O15" s="78">
        <f t="shared" si="5"/>
        <v>43933.650376376463</v>
      </c>
      <c r="P15" s="78">
        <f t="shared" si="5"/>
        <v>45690.996391431661</v>
      </c>
      <c r="Q15" s="78">
        <f t="shared" si="5"/>
        <v>47518.6362470889</v>
      </c>
      <c r="R15" s="78">
        <f t="shared" si="5"/>
        <v>49419.381696972298</v>
      </c>
      <c r="S15" s="78">
        <f t="shared" si="5"/>
        <v>51396.15696485131</v>
      </c>
      <c r="T15" s="78">
        <f t="shared" si="5"/>
        <v>53452.003243445419</v>
      </c>
      <c r="U15" s="78">
        <f t="shared" si="5"/>
        <v>55590.083373183152</v>
      </c>
      <c r="V15" s="78">
        <f t="shared" si="5"/>
        <v>57813.686708110385</v>
      </c>
      <c r="W15" s="78"/>
      <c r="X15" s="79"/>
      <c r="Y15" s="78"/>
      <c r="Z15" s="65"/>
      <c r="AA15" s="79"/>
      <c r="AB15" s="16"/>
      <c r="AC15" s="80"/>
      <c r="AD15" s="81"/>
    </row>
    <row r="16" spans="1:30">
      <c r="A16" s="16" t="s">
        <v>198</v>
      </c>
      <c r="B16" s="74"/>
      <c r="C16" s="62"/>
      <c r="D16" s="78"/>
      <c r="E16" s="78">
        <f>+E15+D15</f>
        <v>71680</v>
      </c>
      <c r="F16" s="78">
        <f t="shared" ref="F16:V16" si="6">+E16+F15</f>
        <v>102547.20000000007</v>
      </c>
      <c r="G16" s="78">
        <f t="shared" si="6"/>
        <v>134649.08800000011</v>
      </c>
      <c r="H16" s="78">
        <f t="shared" si="6"/>
        <v>168035.0515200001</v>
      </c>
      <c r="I16" s="78">
        <f t="shared" si="6"/>
        <v>202756.45358080009</v>
      </c>
      <c r="J16" s="78">
        <f t="shared" si="6"/>
        <v>238866.71172403218</v>
      </c>
      <c r="K16" s="78">
        <f t="shared" si="6"/>
        <v>276421.38019299356</v>
      </c>
      <c r="L16" s="78">
        <f t="shared" si="6"/>
        <v>315478.23540071328</v>
      </c>
      <c r="M16" s="78">
        <f t="shared" si="6"/>
        <v>356097.36481674179</v>
      </c>
      <c r="N16" s="78">
        <f t="shared" si="6"/>
        <v>398341.25940941158</v>
      </c>
      <c r="O16" s="78">
        <f t="shared" si="6"/>
        <v>442274.90978578804</v>
      </c>
      <c r="P16" s="78">
        <f t="shared" si="6"/>
        <v>487965.9061772197</v>
      </c>
      <c r="Q16" s="78">
        <f t="shared" si="6"/>
        <v>535484.5424243086</v>
      </c>
      <c r="R16" s="78">
        <f t="shared" si="6"/>
        <v>584903.9241212809</v>
      </c>
      <c r="S16" s="78">
        <f t="shared" si="6"/>
        <v>636300.08108613221</v>
      </c>
      <c r="T16" s="78">
        <f t="shared" si="6"/>
        <v>689752.08432957763</v>
      </c>
      <c r="U16" s="78">
        <f t="shared" si="6"/>
        <v>745342.16770276078</v>
      </c>
      <c r="V16" s="78">
        <f t="shared" si="6"/>
        <v>803155.85441087116</v>
      </c>
      <c r="W16" s="78"/>
      <c r="X16" s="79"/>
      <c r="Y16" s="78"/>
      <c r="Z16" s="65"/>
      <c r="AA16" s="79"/>
      <c r="AB16" s="16"/>
      <c r="AC16" s="80"/>
      <c r="AD16" s="81"/>
    </row>
    <row r="17" spans="1:32">
      <c r="A17" s="1" t="s">
        <v>199</v>
      </c>
      <c r="B17" s="15"/>
      <c r="C17" s="13">
        <f t="shared" ref="C17:V17" si="7">(+C12*C13)*0.98</f>
        <v>0</v>
      </c>
      <c r="D17" s="13">
        <f t="shared" si="7"/>
        <v>0</v>
      </c>
      <c r="E17" s="13">
        <f t="shared" si="7"/>
        <v>0</v>
      </c>
      <c r="F17" s="13">
        <f t="shared" si="7"/>
        <v>0</v>
      </c>
      <c r="G17" s="13">
        <f t="shared" si="7"/>
        <v>0</v>
      </c>
      <c r="H17" s="13">
        <f t="shared" si="7"/>
        <v>0</v>
      </c>
      <c r="I17" s="13">
        <f t="shared" si="7"/>
        <v>0</v>
      </c>
      <c r="J17" s="13">
        <f t="shared" si="7"/>
        <v>0</v>
      </c>
      <c r="K17" s="13">
        <f t="shared" si="7"/>
        <v>0</v>
      </c>
      <c r="L17" s="13">
        <f t="shared" si="7"/>
        <v>0</v>
      </c>
      <c r="M17" s="13">
        <f t="shared" si="7"/>
        <v>0</v>
      </c>
      <c r="N17" s="13">
        <f t="shared" si="7"/>
        <v>0</v>
      </c>
      <c r="O17" s="13">
        <f t="shared" si="7"/>
        <v>0</v>
      </c>
      <c r="P17" s="13">
        <f t="shared" si="7"/>
        <v>0</v>
      </c>
      <c r="Q17" s="13">
        <f t="shared" si="7"/>
        <v>0</v>
      </c>
      <c r="R17" s="13">
        <f t="shared" si="7"/>
        <v>0</v>
      </c>
      <c r="S17" s="13">
        <f t="shared" si="7"/>
        <v>0</v>
      </c>
      <c r="T17" s="13">
        <f t="shared" si="7"/>
        <v>0</v>
      </c>
      <c r="U17" s="13">
        <f t="shared" si="7"/>
        <v>0</v>
      </c>
      <c r="V17" s="13">
        <f t="shared" si="7"/>
        <v>0</v>
      </c>
      <c r="W17" s="13"/>
      <c r="X17" s="1" t="s">
        <v>199</v>
      </c>
      <c r="Y17" s="13">
        <f>(+Y12*Y13)*0.98</f>
        <v>1473092.7373226536</v>
      </c>
      <c r="Z17" s="66"/>
      <c r="AA17" s="1" t="s">
        <v>200</v>
      </c>
      <c r="AB17" s="13">
        <f>+AB13*0.98</f>
        <v>1473092737.3226538</v>
      </c>
      <c r="AC17" s="13">
        <f>+AC13*0.98</f>
        <v>147309273732.26538</v>
      </c>
      <c r="AD17" s="66"/>
    </row>
    <row r="18" spans="1:32">
      <c r="A18" s="12" t="s">
        <v>201</v>
      </c>
      <c r="B18" s="15"/>
      <c r="C18" s="13">
        <f>+C11</f>
        <v>0</v>
      </c>
      <c r="D18" s="13">
        <f>+D11</f>
        <v>35700</v>
      </c>
      <c r="E18" s="13">
        <f t="shared" ref="E18:V18" si="8">+D21+E9</f>
        <v>62356</v>
      </c>
      <c r="F18" s="13">
        <f t="shared" si="8"/>
        <v>91087.360000000059</v>
      </c>
      <c r="G18" s="13">
        <f t="shared" si="8"/>
        <v>122017.4592000001</v>
      </c>
      <c r="H18" s="13">
        <f t="shared" si="8"/>
        <v>155276.2265600001</v>
      </c>
      <c r="I18" s="13">
        <f t="shared" si="8"/>
        <v>191000.46737408009</v>
      </c>
      <c r="J18" s="13">
        <f t="shared" si="8"/>
        <v>229334.20549079057</v>
      </c>
      <c r="K18" s="13">
        <f t="shared" si="8"/>
        <v>270429.04190903937</v>
      </c>
      <c r="L18" s="13">
        <f t="shared" si="8"/>
        <v>314444.53051196272</v>
      </c>
      <c r="M18" s="13">
        <f t="shared" si="8"/>
        <v>361548.57173606544</v>
      </c>
      <c r="N18" s="13">
        <f t="shared" si="8"/>
        <v>411917.82500927732</v>
      </c>
      <c r="O18" s="13">
        <f t="shared" si="8"/>
        <v>465738.14082956844</v>
      </c>
      <c r="P18" s="13">
        <f t="shared" si="8"/>
        <v>523205.01339546812</v>
      </c>
      <c r="Q18" s="13">
        <f t="shared" si="8"/>
        <v>584524.05474131252</v>
      </c>
      <c r="R18" s="13">
        <f t="shared" si="8"/>
        <v>649911.49137339147</v>
      </c>
      <c r="S18" s="13">
        <f t="shared" si="8"/>
        <v>719594.68444845069</v>
      </c>
      <c r="T18" s="13">
        <f t="shared" si="8"/>
        <v>793812.67458331736</v>
      </c>
      <c r="U18" s="13">
        <f t="shared" si="8"/>
        <v>872816.75243385579</v>
      </c>
      <c r="V18" s="13">
        <f t="shared" si="8"/>
        <v>956871.05623310385</v>
      </c>
      <c r="W18" s="13"/>
      <c r="X18" s="54" t="s">
        <v>201</v>
      </c>
      <c r="Y18" s="13">
        <f>+V21</f>
        <v>995145.89848242793</v>
      </c>
      <c r="Z18" s="55"/>
      <c r="AA18" s="54" t="s">
        <v>201</v>
      </c>
      <c r="AB18" s="13">
        <f>+AB8*Y18</f>
        <v>995145898.48242795</v>
      </c>
      <c r="AC18" s="72">
        <f>+AC8*Y18</f>
        <v>99514589848.242798</v>
      </c>
      <c r="AD18" s="82"/>
    </row>
    <row r="19" spans="1:32">
      <c r="A19" s="12" t="s">
        <v>202</v>
      </c>
      <c r="B19" s="69">
        <f>+Data!G19</f>
        <v>0.03</v>
      </c>
      <c r="C19" s="13">
        <f t="shared" ref="C19:V19" si="9">(+C11*$B$19)</f>
        <v>0</v>
      </c>
      <c r="D19" s="13">
        <f t="shared" si="9"/>
        <v>1071</v>
      </c>
      <c r="E19" s="13">
        <f t="shared" si="9"/>
        <v>1870.6799999999998</v>
      </c>
      <c r="F19" s="13">
        <f t="shared" si="9"/>
        <v>2732.6208000000015</v>
      </c>
      <c r="G19" s="13">
        <f t="shared" si="9"/>
        <v>3660.5237760000027</v>
      </c>
      <c r="H19" s="13">
        <f t="shared" si="9"/>
        <v>4658.2867968000028</v>
      </c>
      <c r="I19" s="13">
        <f t="shared" si="9"/>
        <v>5730.0140212224023</v>
      </c>
      <c r="J19" s="13">
        <f t="shared" si="9"/>
        <v>6880.0261647237166</v>
      </c>
      <c r="K19" s="13">
        <f t="shared" si="9"/>
        <v>8112.8712572711811</v>
      </c>
      <c r="L19" s="13">
        <f t="shared" si="9"/>
        <v>9433.3359153588808</v>
      </c>
      <c r="M19" s="13">
        <f t="shared" si="9"/>
        <v>10846.457152081963</v>
      </c>
      <c r="N19" s="13">
        <f t="shared" si="9"/>
        <v>12357.534750278319</v>
      </c>
      <c r="O19" s="13">
        <f t="shared" si="9"/>
        <v>13972.144224887053</v>
      </c>
      <c r="P19" s="13">
        <f t="shared" si="9"/>
        <v>15696.150401864043</v>
      </c>
      <c r="Q19" s="13">
        <f t="shared" si="9"/>
        <v>17535.721642239376</v>
      </c>
      <c r="R19" s="13">
        <f t="shared" si="9"/>
        <v>19497.344741201745</v>
      </c>
      <c r="S19" s="13">
        <f t="shared" si="9"/>
        <v>21587.84053345352</v>
      </c>
      <c r="T19" s="13">
        <f t="shared" si="9"/>
        <v>23814.380237499521</v>
      </c>
      <c r="U19" s="13">
        <f t="shared" si="9"/>
        <v>26184.502573015674</v>
      </c>
      <c r="V19" s="13">
        <f t="shared" si="9"/>
        <v>28706.131686993114</v>
      </c>
      <c r="W19" s="13"/>
      <c r="X19" s="54"/>
      <c r="Y19" s="13"/>
      <c r="Z19" s="55"/>
      <c r="AA19" s="54"/>
      <c r="AB19" s="13"/>
      <c r="AC19" s="83"/>
      <c r="AD19" s="66"/>
    </row>
    <row r="20" spans="1:32">
      <c r="A20" s="12" t="s">
        <v>203</v>
      </c>
      <c r="B20" s="69">
        <v>0.01</v>
      </c>
      <c r="C20" s="13">
        <f>+C11*$B$20</f>
        <v>0</v>
      </c>
      <c r="D20" s="13">
        <f t="shared" ref="D20:V20" si="10">+D18*$B$20</f>
        <v>357</v>
      </c>
      <c r="E20" s="13">
        <f t="shared" si="10"/>
        <v>623.56000000000006</v>
      </c>
      <c r="F20" s="13">
        <f t="shared" si="10"/>
        <v>910.87360000000058</v>
      </c>
      <c r="G20" s="13">
        <f t="shared" si="10"/>
        <v>1220.174592000001</v>
      </c>
      <c r="H20" s="13">
        <f t="shared" si="10"/>
        <v>1552.762265600001</v>
      </c>
      <c r="I20" s="13">
        <f t="shared" si="10"/>
        <v>1910.0046737408011</v>
      </c>
      <c r="J20" s="13">
        <f t="shared" si="10"/>
        <v>2293.3420549079055</v>
      </c>
      <c r="K20" s="13">
        <f t="shared" si="10"/>
        <v>2704.2904190903937</v>
      </c>
      <c r="L20" s="13">
        <f t="shared" si="10"/>
        <v>3144.4453051196274</v>
      </c>
      <c r="M20" s="13">
        <f t="shared" si="10"/>
        <v>3615.4857173606542</v>
      </c>
      <c r="N20" s="13">
        <f t="shared" si="10"/>
        <v>4119.1782500927729</v>
      </c>
      <c r="O20" s="13">
        <f t="shared" si="10"/>
        <v>4657.3814082956842</v>
      </c>
      <c r="P20" s="13">
        <f t="shared" si="10"/>
        <v>5232.0501339546818</v>
      </c>
      <c r="Q20" s="13">
        <f t="shared" si="10"/>
        <v>5845.2405474131256</v>
      </c>
      <c r="R20" s="13">
        <f t="shared" si="10"/>
        <v>6499.1149137339153</v>
      </c>
      <c r="S20" s="13">
        <f t="shared" si="10"/>
        <v>7195.946844484507</v>
      </c>
      <c r="T20" s="13">
        <f t="shared" si="10"/>
        <v>7938.126745833174</v>
      </c>
      <c r="U20" s="13">
        <f t="shared" si="10"/>
        <v>8728.167524338558</v>
      </c>
      <c r="V20" s="13">
        <f t="shared" si="10"/>
        <v>9568.7105623310381</v>
      </c>
      <c r="W20" s="13"/>
      <c r="X20" s="54"/>
      <c r="Y20" s="13"/>
      <c r="Z20" s="55"/>
      <c r="AA20" s="54"/>
      <c r="AB20" s="13"/>
      <c r="AC20" s="83"/>
      <c r="AD20" s="66"/>
    </row>
    <row r="21" spans="1:32">
      <c r="A21" s="84" t="s">
        <v>204</v>
      </c>
      <c r="B21" s="62"/>
      <c r="C21" s="62">
        <f>+C17-C18-C19-C20</f>
        <v>0</v>
      </c>
      <c r="D21" s="62">
        <f t="shared" ref="D21:V21" si="11">D18+D19+D20</f>
        <v>37128</v>
      </c>
      <c r="E21" s="62">
        <f t="shared" si="11"/>
        <v>64850.239999999998</v>
      </c>
      <c r="F21" s="62">
        <f t="shared" si="11"/>
        <v>94730.854400000069</v>
      </c>
      <c r="G21" s="62">
        <f t="shared" si="11"/>
        <v>126898.1575680001</v>
      </c>
      <c r="H21" s="62">
        <f t="shared" si="11"/>
        <v>161487.27562240011</v>
      </c>
      <c r="I21" s="62">
        <f t="shared" si="11"/>
        <v>198640.48606904328</v>
      </c>
      <c r="J21" s="62">
        <f t="shared" si="11"/>
        <v>238507.57371042218</v>
      </c>
      <c r="K21" s="62">
        <f t="shared" si="11"/>
        <v>281246.20358540094</v>
      </c>
      <c r="L21" s="62">
        <f t="shared" si="11"/>
        <v>327022.31173244119</v>
      </c>
      <c r="M21" s="62">
        <f t="shared" si="11"/>
        <v>376010.51460550801</v>
      </c>
      <c r="N21" s="62">
        <f t="shared" si="11"/>
        <v>428394.53800964844</v>
      </c>
      <c r="O21" s="62">
        <f t="shared" si="11"/>
        <v>484367.66646275122</v>
      </c>
      <c r="P21" s="62">
        <f t="shared" si="11"/>
        <v>544133.21393128694</v>
      </c>
      <c r="Q21" s="62">
        <f t="shared" si="11"/>
        <v>607905.01693096501</v>
      </c>
      <c r="R21" s="62">
        <f t="shared" si="11"/>
        <v>675907.95102832711</v>
      </c>
      <c r="S21" s="62">
        <f t="shared" si="11"/>
        <v>748378.47182638873</v>
      </c>
      <c r="T21" s="62">
        <f t="shared" si="11"/>
        <v>825565.18156665005</v>
      </c>
      <c r="U21" s="62">
        <f t="shared" si="11"/>
        <v>907729.42253121</v>
      </c>
      <c r="V21" s="62">
        <f t="shared" si="11"/>
        <v>995145.89848242793</v>
      </c>
      <c r="W21" s="62"/>
      <c r="X21" s="85" t="s">
        <v>205</v>
      </c>
      <c r="Y21" s="62">
        <f>+Y17-Y18-Y19-Y20</f>
        <v>477946.83884022571</v>
      </c>
      <c r="Z21" s="65"/>
      <c r="AA21" s="85" t="s">
        <v>205</v>
      </c>
      <c r="AB21" s="62">
        <f>+AB17-AB18-AB19-AB20</f>
        <v>477946838.84022582</v>
      </c>
      <c r="AC21" s="86">
        <f>+AC8*Y21</f>
        <v>47794683884.022568</v>
      </c>
      <c r="AD21" s="87" t="s">
        <v>148</v>
      </c>
    </row>
    <row r="22" spans="1:32">
      <c r="A22" s="21" t="s">
        <v>206</v>
      </c>
      <c r="B22" s="13"/>
      <c r="C22" s="13">
        <f t="shared" ref="C22:V22" si="12">+C13</f>
        <v>700000</v>
      </c>
      <c r="D22" s="13">
        <f t="shared" si="12"/>
        <v>742000</v>
      </c>
      <c r="E22" s="13">
        <f t="shared" si="12"/>
        <v>771680</v>
      </c>
      <c r="F22" s="13">
        <f t="shared" si="12"/>
        <v>802547.20000000007</v>
      </c>
      <c r="G22" s="13">
        <f t="shared" si="12"/>
        <v>834649.08800000011</v>
      </c>
      <c r="H22" s="13">
        <f t="shared" si="12"/>
        <v>868035.0515200001</v>
      </c>
      <c r="I22" s="13">
        <f t="shared" si="12"/>
        <v>902756.45358080009</v>
      </c>
      <c r="J22" s="13">
        <f t="shared" si="12"/>
        <v>938866.71172403218</v>
      </c>
      <c r="K22" s="13">
        <f t="shared" si="12"/>
        <v>976421.38019299356</v>
      </c>
      <c r="L22" s="13">
        <f t="shared" si="12"/>
        <v>1015478.2354007133</v>
      </c>
      <c r="M22" s="13">
        <f t="shared" si="12"/>
        <v>1056097.3648167418</v>
      </c>
      <c r="N22" s="13">
        <f t="shared" si="12"/>
        <v>1098341.2594094116</v>
      </c>
      <c r="O22" s="13">
        <f t="shared" si="12"/>
        <v>1142274.909785788</v>
      </c>
      <c r="P22" s="13">
        <f t="shared" si="12"/>
        <v>1187965.9061772197</v>
      </c>
      <c r="Q22" s="13">
        <f t="shared" si="12"/>
        <v>1235484.5424243086</v>
      </c>
      <c r="R22" s="13">
        <f t="shared" si="12"/>
        <v>1284903.9241212809</v>
      </c>
      <c r="S22" s="13">
        <f t="shared" si="12"/>
        <v>1336300.0810861322</v>
      </c>
      <c r="T22" s="13">
        <f t="shared" si="12"/>
        <v>1389752.0843295776</v>
      </c>
      <c r="U22" s="13">
        <f t="shared" si="12"/>
        <v>1445342.1677027608</v>
      </c>
      <c r="V22" s="13">
        <f t="shared" si="12"/>
        <v>1503155.8544108712</v>
      </c>
      <c r="W22" s="13"/>
      <c r="X22" s="88"/>
      <c r="Y22" s="34">
        <f>+Y17/Y18</f>
        <v>1.4802781577747368</v>
      </c>
      <c r="Z22" s="55"/>
      <c r="AA22" s="88"/>
      <c r="AB22" s="34">
        <f>+AB17/AB18</f>
        <v>1.4802781577747368</v>
      </c>
      <c r="AC22" s="34">
        <f>+AC17/AC18</f>
        <v>1.4802781577747368</v>
      </c>
      <c r="AD22" s="64"/>
    </row>
    <row r="23" spans="1:32">
      <c r="A23" s="21" t="s">
        <v>207</v>
      </c>
      <c r="B23" s="13"/>
      <c r="C23" s="13"/>
      <c r="D23" s="13">
        <f t="shared" ref="D23:V23" si="13">+D21</f>
        <v>37128</v>
      </c>
      <c r="E23" s="13">
        <f t="shared" si="13"/>
        <v>64850.239999999998</v>
      </c>
      <c r="F23" s="13">
        <f t="shared" si="13"/>
        <v>94730.854400000069</v>
      </c>
      <c r="G23" s="13">
        <f t="shared" si="13"/>
        <v>126898.1575680001</v>
      </c>
      <c r="H23" s="13">
        <f t="shared" si="13"/>
        <v>161487.27562240011</v>
      </c>
      <c r="I23" s="13">
        <f t="shared" si="13"/>
        <v>198640.48606904328</v>
      </c>
      <c r="J23" s="13">
        <f t="shared" si="13"/>
        <v>238507.57371042218</v>
      </c>
      <c r="K23" s="13">
        <f t="shared" si="13"/>
        <v>281246.20358540094</v>
      </c>
      <c r="L23" s="13">
        <f t="shared" si="13"/>
        <v>327022.31173244119</v>
      </c>
      <c r="M23" s="13">
        <f t="shared" si="13"/>
        <v>376010.51460550801</v>
      </c>
      <c r="N23" s="13">
        <f t="shared" si="13"/>
        <v>428394.53800964844</v>
      </c>
      <c r="O23" s="13">
        <f t="shared" si="13"/>
        <v>484367.66646275122</v>
      </c>
      <c r="P23" s="13">
        <f t="shared" si="13"/>
        <v>544133.21393128694</v>
      </c>
      <c r="Q23" s="13">
        <f t="shared" si="13"/>
        <v>607905.01693096501</v>
      </c>
      <c r="R23" s="13">
        <f t="shared" si="13"/>
        <v>675907.95102832711</v>
      </c>
      <c r="S23" s="13">
        <f t="shared" si="13"/>
        <v>748378.47182638873</v>
      </c>
      <c r="T23" s="13">
        <f t="shared" si="13"/>
        <v>825565.18156665005</v>
      </c>
      <c r="U23" s="13">
        <f t="shared" si="13"/>
        <v>907729.42253121</v>
      </c>
      <c r="V23" s="13">
        <f t="shared" si="13"/>
        <v>995145.89848242793</v>
      </c>
      <c r="W23" s="13"/>
      <c r="X23" s="88"/>
      <c r="Y23" s="13"/>
      <c r="Z23" s="55"/>
      <c r="AA23" s="88"/>
      <c r="AB23" s="13"/>
      <c r="AC23" s="13"/>
      <c r="AD23" s="64"/>
    </row>
    <row r="24" spans="1:32">
      <c r="A24" s="16" t="s">
        <v>208</v>
      </c>
      <c r="B24" s="62"/>
      <c r="C24" s="62"/>
      <c r="D24" s="89">
        <f t="shared" ref="D24:V24" si="14">+D22/D23</f>
        <v>19.984917043740573</v>
      </c>
      <c r="E24" s="89">
        <f t="shared" si="14"/>
        <v>11.899416255051639</v>
      </c>
      <c r="F24" s="89">
        <f t="shared" si="14"/>
        <v>8.4718670076726283</v>
      </c>
      <c r="G24" s="89">
        <f t="shared" si="14"/>
        <v>6.5773144700918298</v>
      </c>
      <c r="H24" s="89">
        <f t="shared" si="14"/>
        <v>5.3752535496957377</v>
      </c>
      <c r="I24" s="89">
        <f t="shared" si="14"/>
        <v>4.5446750128622861</v>
      </c>
      <c r="J24" s="89">
        <f t="shared" si="14"/>
        <v>3.9364230540701111</v>
      </c>
      <c r="K24" s="89">
        <f t="shared" si="14"/>
        <v>3.4717673260841062</v>
      </c>
      <c r="L24" s="89">
        <f t="shared" si="14"/>
        <v>3.1052261542067012</v>
      </c>
      <c r="M24" s="89">
        <f t="shared" si="14"/>
        <v>2.8086910439851605</v>
      </c>
      <c r="N24" s="89">
        <f t="shared" si="14"/>
        <v>2.5638544891640853</v>
      </c>
      <c r="O24" s="89">
        <f t="shared" si="14"/>
        <v>2.3582806798967684</v>
      </c>
      <c r="P24" s="89">
        <f t="shared" si="14"/>
        <v>2.1832262316691367</v>
      </c>
      <c r="Q24" s="89">
        <f t="shared" si="14"/>
        <v>2.0323644451261584</v>
      </c>
      <c r="R24" s="89">
        <f t="shared" si="14"/>
        <v>1.9010043041606872</v>
      </c>
      <c r="S24" s="89">
        <f t="shared" si="14"/>
        <v>1.7855939626709778</v>
      </c>
      <c r="T24" s="89">
        <f t="shared" si="14"/>
        <v>1.6833947401854898</v>
      </c>
      <c r="U24" s="89">
        <f t="shared" si="14"/>
        <v>1.5922610106351007</v>
      </c>
      <c r="V24" s="89">
        <f t="shared" si="14"/>
        <v>1.5104879160966702</v>
      </c>
      <c r="W24" s="89"/>
      <c r="X24" s="59"/>
      <c r="Y24" s="13"/>
      <c r="Z24" s="55"/>
      <c r="AA24" s="59"/>
      <c r="AC24" s="86"/>
      <c r="AD24" s="64"/>
    </row>
    <row r="25" spans="1:32">
      <c r="A25" s="16"/>
      <c r="B25" s="62"/>
      <c r="C25" s="62"/>
      <c r="D25" s="89"/>
      <c r="E25" s="89"/>
      <c r="F25" s="89"/>
      <c r="G25" s="89"/>
      <c r="H25" s="89"/>
      <c r="I25" s="89"/>
      <c r="J25" s="89"/>
      <c r="K25" s="89"/>
      <c r="L25" s="89"/>
      <c r="M25" s="89"/>
      <c r="N25" s="89"/>
      <c r="O25" s="89"/>
      <c r="P25" s="89"/>
      <c r="Q25" s="89"/>
      <c r="R25" s="89"/>
      <c r="S25" s="89"/>
      <c r="T25" s="89"/>
      <c r="U25" s="89"/>
      <c r="V25" s="89"/>
      <c r="W25" s="89"/>
      <c r="X25" s="59"/>
      <c r="Y25" s="13"/>
      <c r="Z25" s="55"/>
      <c r="AA25" s="59"/>
      <c r="AC25" s="86"/>
      <c r="AD25" s="64"/>
    </row>
    <row r="26" spans="1:32">
      <c r="A26" s="1" t="s">
        <v>209</v>
      </c>
      <c r="B26" s="13"/>
      <c r="C26" s="13"/>
      <c r="D26" s="13">
        <f t="shared" ref="D26:V26" si="15">+D9-D29-D19</f>
        <v>24329</v>
      </c>
      <c r="E26" s="13">
        <f t="shared" si="15"/>
        <v>12748.32</v>
      </c>
      <c r="F26" s="13">
        <f t="shared" si="15"/>
        <v>12577.229200000056</v>
      </c>
      <c r="G26" s="13">
        <f t="shared" si="15"/>
        <v>12370.992924000027</v>
      </c>
      <c r="H26" s="13">
        <f t="shared" si="15"/>
        <v>12127.041452199988</v>
      </c>
      <c r="I26" s="13">
        <f t="shared" si="15"/>
        <v>11842.654765167597</v>
      </c>
      <c r="J26" s="13">
        <f t="shared" si="15"/>
        <v>11514.954602774858</v>
      </c>
      <c r="K26" s="13">
        <f t="shared" si="15"/>
        <v>11140.896127469823</v>
      </c>
      <c r="L26" s="13">
        <f t="shared" si="15"/>
        <v>10717.259172910437</v>
      </c>
      <c r="M26" s="13">
        <f t="shared" si="15"/>
        <v>10240.639058101046</v>
      </c>
      <c r="N26" s="13">
        <f t="shared" si="15"/>
        <v>9707.4369462465438</v>
      </c>
      <c r="O26" s="13">
        <f t="shared" si="15"/>
        <v>9113.8497265711503</v>
      </c>
      <c r="P26" s="13">
        <f t="shared" si="15"/>
        <v>8455.8593963372205</v>
      </c>
      <c r="Q26" s="13">
        <f t="shared" si="15"/>
        <v>7729.2219192350713</v>
      </c>
      <c r="R26" s="13">
        <f t="shared" si="15"/>
        <v>6929.4555352170537</v>
      </c>
      <c r="S26" s="13">
        <f t="shared" si="15"/>
        <v>6051.8284956822172</v>
      </c>
      <c r="T26" s="13">
        <f t="shared" si="15"/>
        <v>5091.3461967115691</v>
      </c>
      <c r="U26" s="13">
        <f t="shared" si="15"/>
        <v>4042.7376817909608</v>
      </c>
      <c r="V26" s="13">
        <f t="shared" si="15"/>
        <v>2900.4414841296966</v>
      </c>
      <c r="W26" s="13"/>
      <c r="X26" s="59"/>
      <c r="Y26" s="13"/>
      <c r="Z26" s="55"/>
      <c r="AA26" s="59"/>
      <c r="AC26" s="86"/>
      <c r="AD26" s="77"/>
    </row>
    <row r="27" spans="1:32">
      <c r="A27" s="1" t="s">
        <v>210</v>
      </c>
      <c r="B27" s="13"/>
      <c r="C27" s="13"/>
      <c r="D27" s="13">
        <f t="shared" ref="D27:V27" si="16">+D26*1000</f>
        <v>24329000</v>
      </c>
      <c r="E27" s="13">
        <f t="shared" si="16"/>
        <v>12748320</v>
      </c>
      <c r="F27" s="13">
        <f t="shared" si="16"/>
        <v>12577229.200000057</v>
      </c>
      <c r="G27" s="13">
        <f t="shared" si="16"/>
        <v>12370992.924000027</v>
      </c>
      <c r="H27" s="13">
        <f t="shared" si="16"/>
        <v>12127041.452199988</v>
      </c>
      <c r="I27" s="13">
        <f t="shared" si="16"/>
        <v>11842654.765167598</v>
      </c>
      <c r="J27" s="13">
        <f t="shared" si="16"/>
        <v>11514954.602774858</v>
      </c>
      <c r="K27" s="13">
        <f t="shared" si="16"/>
        <v>11140896.127469823</v>
      </c>
      <c r="L27" s="13">
        <f t="shared" si="16"/>
        <v>10717259.172910437</v>
      </c>
      <c r="M27" s="13">
        <f t="shared" si="16"/>
        <v>10240639.058101045</v>
      </c>
      <c r="N27" s="13">
        <f t="shared" si="16"/>
        <v>9707436.9462465439</v>
      </c>
      <c r="O27" s="13">
        <f t="shared" si="16"/>
        <v>9113849.7265711501</v>
      </c>
      <c r="P27" s="13">
        <f t="shared" si="16"/>
        <v>8455859.3963372204</v>
      </c>
      <c r="Q27" s="13">
        <f t="shared" si="16"/>
        <v>7729221.9192350712</v>
      </c>
      <c r="R27" s="13">
        <f t="shared" si="16"/>
        <v>6929455.5352170533</v>
      </c>
      <c r="S27" s="13">
        <f t="shared" si="16"/>
        <v>6051828.4956822172</v>
      </c>
      <c r="T27" s="13">
        <f t="shared" si="16"/>
        <v>5091346.1967115691</v>
      </c>
      <c r="U27" s="13">
        <f t="shared" si="16"/>
        <v>4042737.681790961</v>
      </c>
      <c r="V27" s="13">
        <f t="shared" si="16"/>
        <v>2900441.4841296966</v>
      </c>
      <c r="W27" s="13"/>
      <c r="X27" s="59"/>
      <c r="Y27" s="13"/>
      <c r="Z27" s="55"/>
      <c r="AA27" s="59"/>
      <c r="AC27" s="86"/>
      <c r="AD27" s="77"/>
    </row>
    <row r="28" spans="1:32">
      <c r="B28" s="13"/>
      <c r="C28" s="13"/>
      <c r="D28" s="13"/>
      <c r="E28" s="13"/>
      <c r="F28" s="13"/>
      <c r="G28" s="13"/>
      <c r="H28" s="13"/>
      <c r="I28" s="13"/>
      <c r="J28" s="13"/>
      <c r="K28" s="13"/>
      <c r="L28" s="13"/>
      <c r="M28" s="13"/>
      <c r="N28" s="13"/>
      <c r="O28" s="13"/>
      <c r="P28" s="13"/>
      <c r="Q28" s="13"/>
      <c r="R28" s="13"/>
      <c r="S28" s="13"/>
      <c r="T28" s="13"/>
      <c r="U28" s="13"/>
      <c r="V28" s="13"/>
      <c r="W28" s="13"/>
      <c r="X28" s="59"/>
      <c r="Y28" s="13"/>
      <c r="Z28" s="55"/>
      <c r="AA28" s="59"/>
      <c r="AC28" s="86"/>
      <c r="AD28" s="77"/>
    </row>
    <row r="29" spans="1:32">
      <c r="A29" s="1" t="s">
        <v>211</v>
      </c>
      <c r="B29" s="13"/>
      <c r="C29" s="70">
        <v>10000</v>
      </c>
      <c r="D29" s="13">
        <f t="shared" ref="D29:V29" si="17">+C29*1.03</f>
        <v>10300</v>
      </c>
      <c r="E29" s="13">
        <f t="shared" si="17"/>
        <v>10609</v>
      </c>
      <c r="F29" s="13">
        <f t="shared" si="17"/>
        <v>10927.27</v>
      </c>
      <c r="G29" s="13">
        <f t="shared" si="17"/>
        <v>11255.088100000001</v>
      </c>
      <c r="H29" s="13">
        <f t="shared" si="17"/>
        <v>11592.740743</v>
      </c>
      <c r="I29" s="13">
        <f t="shared" si="17"/>
        <v>11940.52296529</v>
      </c>
      <c r="J29" s="13">
        <f t="shared" si="17"/>
        <v>12298.7386542487</v>
      </c>
      <c r="K29" s="13">
        <f t="shared" si="17"/>
        <v>12667.700813876161</v>
      </c>
      <c r="L29" s="13">
        <f t="shared" si="17"/>
        <v>13047.731838292446</v>
      </c>
      <c r="M29" s="13">
        <f t="shared" si="17"/>
        <v>13439.163793441219</v>
      </c>
      <c r="N29" s="13">
        <f t="shared" si="17"/>
        <v>13842.338707244457</v>
      </c>
      <c r="O29" s="13">
        <f t="shared" si="17"/>
        <v>14257.60886846179</v>
      </c>
      <c r="P29" s="13">
        <f t="shared" si="17"/>
        <v>14685.337134515645</v>
      </c>
      <c r="Q29" s="13">
        <f t="shared" si="17"/>
        <v>15125.897248551115</v>
      </c>
      <c r="R29" s="13">
        <f t="shared" si="17"/>
        <v>15579.67416600765</v>
      </c>
      <c r="S29" s="13">
        <f t="shared" si="17"/>
        <v>16047.06439098788</v>
      </c>
      <c r="T29" s="13">
        <f t="shared" si="17"/>
        <v>16528.476322717517</v>
      </c>
      <c r="U29" s="13">
        <f t="shared" si="17"/>
        <v>17024.330612399044</v>
      </c>
      <c r="V29" s="13">
        <f t="shared" si="17"/>
        <v>17535.060530771018</v>
      </c>
      <c r="W29" s="13"/>
      <c r="X29" s="59" t="s">
        <v>212</v>
      </c>
      <c r="Y29" s="13">
        <f>+V29*1.03</f>
        <v>18061.11234669415</v>
      </c>
      <c r="Z29" s="55"/>
      <c r="AA29" s="59" t="s">
        <v>212</v>
      </c>
      <c r="AB29" s="13">
        <f>+AB8*Y29</f>
        <v>18061112.346694149</v>
      </c>
      <c r="AC29" s="83">
        <f>+AC8*Y29</f>
        <v>1806111234.669415</v>
      </c>
      <c r="AD29" s="65"/>
    </row>
    <row r="30" spans="1:32">
      <c r="A30" s="1" t="s">
        <v>213</v>
      </c>
      <c r="B30" s="13"/>
      <c r="C30" s="13">
        <f>(+C29*C8)</f>
        <v>10000</v>
      </c>
      <c r="D30" s="13">
        <f t="shared" ref="D30:V30" si="18">+C30+D29</f>
        <v>20300</v>
      </c>
      <c r="E30" s="13">
        <f t="shared" si="18"/>
        <v>30909</v>
      </c>
      <c r="F30" s="13">
        <f t="shared" si="18"/>
        <v>41836.270000000004</v>
      </c>
      <c r="G30" s="13">
        <f t="shared" si="18"/>
        <v>53091.358100000005</v>
      </c>
      <c r="H30" s="13">
        <f t="shared" si="18"/>
        <v>64684.098843000007</v>
      </c>
      <c r="I30" s="13">
        <f t="shared" si="18"/>
        <v>76624.621808290001</v>
      </c>
      <c r="J30" s="13">
        <f t="shared" si="18"/>
        <v>88923.360462538694</v>
      </c>
      <c r="K30" s="13">
        <f t="shared" si="18"/>
        <v>101591.06127641485</v>
      </c>
      <c r="L30" s="13">
        <f t="shared" si="18"/>
        <v>114638.7931147073</v>
      </c>
      <c r="M30" s="13">
        <f t="shared" si="18"/>
        <v>128077.95690814851</v>
      </c>
      <c r="N30" s="13">
        <f t="shared" si="18"/>
        <v>141920.29561539297</v>
      </c>
      <c r="O30" s="13">
        <f t="shared" si="18"/>
        <v>156177.90448385477</v>
      </c>
      <c r="P30" s="13">
        <f t="shared" si="18"/>
        <v>170863.2416183704</v>
      </c>
      <c r="Q30" s="13">
        <f t="shared" si="18"/>
        <v>185989.13886692151</v>
      </c>
      <c r="R30" s="13">
        <f t="shared" si="18"/>
        <v>201568.81303292915</v>
      </c>
      <c r="S30" s="13">
        <f t="shared" si="18"/>
        <v>217615.87742391703</v>
      </c>
      <c r="T30" s="13">
        <f t="shared" si="18"/>
        <v>234144.35374663456</v>
      </c>
      <c r="U30" s="13">
        <f t="shared" si="18"/>
        <v>251168.68435903359</v>
      </c>
      <c r="V30" s="13">
        <f t="shared" si="18"/>
        <v>268703.74488980463</v>
      </c>
      <c r="W30" s="13"/>
      <c r="X30" s="59" t="s">
        <v>213</v>
      </c>
      <c r="Y30" s="13">
        <f>+V30+Y29</f>
        <v>286764.85723649879</v>
      </c>
      <c r="Z30" s="55"/>
      <c r="AA30" s="59" t="s">
        <v>213</v>
      </c>
      <c r="AB30" s="13">
        <f>+AB8*Y30</f>
        <v>286764857.23649877</v>
      </c>
      <c r="AC30" s="72">
        <f>+AC8*Y30</f>
        <v>28676485723.649879</v>
      </c>
      <c r="AD30" s="90" t="s">
        <v>214</v>
      </c>
      <c r="AE30" s="86"/>
      <c r="AF30" s="86"/>
    </row>
    <row r="31" spans="1:32">
      <c r="B31" s="13"/>
      <c r="C31" s="13"/>
      <c r="D31" s="13"/>
      <c r="E31" s="13"/>
      <c r="F31" s="13"/>
      <c r="G31" s="13"/>
      <c r="H31" s="13"/>
      <c r="I31" s="13"/>
      <c r="J31" s="13"/>
      <c r="K31" s="13"/>
      <c r="L31" s="13"/>
      <c r="M31" s="13"/>
      <c r="N31" s="13"/>
      <c r="O31" s="13"/>
      <c r="P31" s="13"/>
      <c r="Q31" s="13"/>
      <c r="R31" s="13"/>
      <c r="S31" s="13"/>
      <c r="T31" s="13"/>
      <c r="U31" s="13"/>
      <c r="V31" s="13"/>
      <c r="W31" s="13"/>
      <c r="X31" s="59"/>
      <c r="Y31" s="13"/>
      <c r="Z31" s="64"/>
      <c r="AA31" s="59"/>
      <c r="AB31" s="62"/>
      <c r="AC31" s="13"/>
      <c r="AD31" s="55"/>
      <c r="AE31" s="86"/>
      <c r="AF31" s="91"/>
    </row>
    <row r="32" spans="1:32">
      <c r="A32" s="1" t="s">
        <v>215</v>
      </c>
      <c r="B32" s="13"/>
      <c r="C32" s="13">
        <f t="shared" ref="C32:V32" si="19">+C9-C29</f>
        <v>-10000</v>
      </c>
      <c r="D32" s="13">
        <f t="shared" si="19"/>
        <v>25400</v>
      </c>
      <c r="E32" s="13">
        <f t="shared" si="19"/>
        <v>14619</v>
      </c>
      <c r="F32" s="13">
        <f t="shared" si="19"/>
        <v>15309.850000000057</v>
      </c>
      <c r="G32" s="13">
        <f t="shared" si="19"/>
        <v>16031.516700000029</v>
      </c>
      <c r="H32" s="13">
        <f t="shared" si="19"/>
        <v>16785.328248999991</v>
      </c>
      <c r="I32" s="13">
        <f t="shared" si="19"/>
        <v>17572.668786390001</v>
      </c>
      <c r="J32" s="13">
        <f t="shared" si="19"/>
        <v>18394.980767498575</v>
      </c>
      <c r="K32" s="13">
        <f t="shared" si="19"/>
        <v>19253.767384741004</v>
      </c>
      <c r="L32" s="13">
        <f t="shared" si="19"/>
        <v>20150.595088269318</v>
      </c>
      <c r="M32" s="13">
        <f t="shared" si="19"/>
        <v>21087.096210183008</v>
      </c>
      <c r="N32" s="13">
        <f t="shared" si="19"/>
        <v>22064.971696524863</v>
      </c>
      <c r="O32" s="13">
        <f t="shared" si="19"/>
        <v>23085.993951458204</v>
      </c>
      <c r="P32" s="13">
        <f t="shared" si="19"/>
        <v>24152.009798201263</v>
      </c>
      <c r="Q32" s="13">
        <f t="shared" si="19"/>
        <v>25264.943561474447</v>
      </c>
      <c r="R32" s="13">
        <f t="shared" si="19"/>
        <v>26426.800276418799</v>
      </c>
      <c r="S32" s="13">
        <f t="shared" si="19"/>
        <v>27639.669029135737</v>
      </c>
      <c r="T32" s="13">
        <f t="shared" si="19"/>
        <v>28905.72643421109</v>
      </c>
      <c r="U32" s="13">
        <f t="shared" si="19"/>
        <v>30227.240254806635</v>
      </c>
      <c r="V32" s="13">
        <f t="shared" si="19"/>
        <v>31606.573171122811</v>
      </c>
      <c r="W32" s="13"/>
      <c r="X32" s="59" t="s">
        <v>215</v>
      </c>
      <c r="Y32" s="13"/>
      <c r="Z32" s="64"/>
      <c r="AA32" s="59"/>
      <c r="AB32" s="62"/>
      <c r="AC32" s="13"/>
      <c r="AD32" s="55"/>
      <c r="AE32" s="92"/>
      <c r="AF32" s="92"/>
    </row>
    <row r="33" spans="1:32">
      <c r="A33" s="1" t="s">
        <v>11</v>
      </c>
      <c r="B33" s="13"/>
      <c r="C33" s="13">
        <f>+C9/C32*100</f>
        <v>0</v>
      </c>
      <c r="D33" s="13">
        <f t="shared" ref="D33:V33" si="20">+D9/D29*100-100</f>
        <v>246.60194174757282</v>
      </c>
      <c r="E33" s="13">
        <f t="shared" si="20"/>
        <v>137.79809595626355</v>
      </c>
      <c r="F33" s="13">
        <f t="shared" si="20"/>
        <v>140.10681533448022</v>
      </c>
      <c r="G33" s="13">
        <f t="shared" si="20"/>
        <v>142.4379494639409</v>
      </c>
      <c r="H33" s="13">
        <f t="shared" si="20"/>
        <v>144.79171596359049</v>
      </c>
      <c r="I33" s="13">
        <f t="shared" si="20"/>
        <v>147.16833456517881</v>
      </c>
      <c r="J33" s="13">
        <f t="shared" si="20"/>
        <v>149.56802713377343</v>
      </c>
      <c r="K33" s="13">
        <f t="shared" si="20"/>
        <v>151.99101768847024</v>
      </c>
      <c r="L33" s="13">
        <f t="shared" si="20"/>
        <v>154.43753242330905</v>
      </c>
      <c r="M33" s="13">
        <f t="shared" si="20"/>
        <v>156.9077997283897</v>
      </c>
      <c r="N33" s="13">
        <f t="shared" si="20"/>
        <v>159.40205021119044</v>
      </c>
      <c r="O33" s="13">
        <f t="shared" si="20"/>
        <v>161.92051671809458</v>
      </c>
      <c r="P33" s="13">
        <f t="shared" si="20"/>
        <v>164.46343435613505</v>
      </c>
      <c r="Q33" s="13">
        <f t="shared" si="20"/>
        <v>167.03104051493233</v>
      </c>
      <c r="R33" s="13">
        <f t="shared" si="20"/>
        <v>169.62357488886283</v>
      </c>
      <c r="S33" s="13">
        <f t="shared" si="20"/>
        <v>172.241279499435</v>
      </c>
      <c r="T33" s="13">
        <f t="shared" si="20"/>
        <v>174.88439871787637</v>
      </c>
      <c r="U33" s="13">
        <f t="shared" si="20"/>
        <v>177.55317928795239</v>
      </c>
      <c r="V33" s="13">
        <f t="shared" si="20"/>
        <v>180.24787034899998</v>
      </c>
      <c r="W33" s="13"/>
      <c r="X33" s="59" t="s">
        <v>11</v>
      </c>
      <c r="Y33" s="13"/>
      <c r="Z33" s="64"/>
      <c r="AA33" s="59"/>
      <c r="AB33" s="62"/>
      <c r="AC33" s="13"/>
      <c r="AD33" s="60"/>
      <c r="AE33" s="93"/>
      <c r="AF33" s="94"/>
    </row>
    <row r="34" spans="1:32">
      <c r="A34" s="16" t="s">
        <v>80</v>
      </c>
      <c r="B34" s="13"/>
      <c r="C34" s="13"/>
      <c r="D34" s="13"/>
      <c r="E34" s="13"/>
      <c r="F34" s="13"/>
      <c r="G34" s="13"/>
      <c r="H34" s="13"/>
      <c r="I34" s="13"/>
      <c r="J34" s="13"/>
      <c r="K34" s="13"/>
      <c r="L34" s="13"/>
      <c r="M34" s="13"/>
      <c r="N34" s="13"/>
      <c r="O34" s="13"/>
      <c r="P34" s="13"/>
      <c r="Q34" s="13"/>
      <c r="R34" s="13"/>
      <c r="S34" s="13"/>
      <c r="T34" s="13"/>
      <c r="U34" s="13"/>
      <c r="V34" s="13"/>
      <c r="W34" s="13"/>
      <c r="X34" s="59" t="s">
        <v>80</v>
      </c>
      <c r="Y34" s="95"/>
      <c r="Z34" s="73"/>
      <c r="AA34" s="59" t="s">
        <v>80</v>
      </c>
      <c r="AB34" s="13"/>
      <c r="AC34" s="13"/>
      <c r="AD34" s="55"/>
      <c r="AE34" s="83"/>
      <c r="AF34" s="83"/>
    </row>
    <row r="35" spans="1:32">
      <c r="A35" s="1" t="s">
        <v>216</v>
      </c>
      <c r="B35" s="13"/>
      <c r="C35" s="13">
        <f t="shared" ref="C35:V35" si="21">+C9</f>
        <v>0</v>
      </c>
      <c r="D35" s="13">
        <f t="shared" si="21"/>
        <v>35700</v>
      </c>
      <c r="E35" s="13">
        <f t="shared" si="21"/>
        <v>25228</v>
      </c>
      <c r="F35" s="13">
        <f t="shared" si="21"/>
        <v>26237.120000000057</v>
      </c>
      <c r="G35" s="13">
        <f t="shared" si="21"/>
        <v>27286.60480000003</v>
      </c>
      <c r="H35" s="13">
        <f t="shared" si="21"/>
        <v>28378.06899199999</v>
      </c>
      <c r="I35" s="13">
        <f t="shared" si="21"/>
        <v>29513.191751679999</v>
      </c>
      <c r="J35" s="13">
        <f t="shared" si="21"/>
        <v>30693.719421747275</v>
      </c>
      <c r="K35" s="13">
        <f t="shared" si="21"/>
        <v>31921.468198617167</v>
      </c>
      <c r="L35" s="13">
        <f t="shared" si="21"/>
        <v>33198.326926561764</v>
      </c>
      <c r="M35" s="13">
        <f t="shared" si="21"/>
        <v>34526.260003624229</v>
      </c>
      <c r="N35" s="13">
        <f t="shared" si="21"/>
        <v>35907.310403769319</v>
      </c>
      <c r="O35" s="13">
        <f t="shared" si="21"/>
        <v>37343.602819919994</v>
      </c>
      <c r="P35" s="13">
        <f t="shared" si="21"/>
        <v>38837.346932716908</v>
      </c>
      <c r="Q35" s="13">
        <f t="shared" si="21"/>
        <v>40390.840810025562</v>
      </c>
      <c r="R35" s="13">
        <f t="shared" si="21"/>
        <v>42006.47444242645</v>
      </c>
      <c r="S35" s="13">
        <f t="shared" si="21"/>
        <v>43686.733420123615</v>
      </c>
      <c r="T35" s="13">
        <f t="shared" si="21"/>
        <v>45434.202756928607</v>
      </c>
      <c r="U35" s="13">
        <f t="shared" si="21"/>
        <v>47251.570867205679</v>
      </c>
      <c r="V35" s="13">
        <f t="shared" si="21"/>
        <v>49141.633701893828</v>
      </c>
      <c r="W35" s="13"/>
      <c r="X35" s="59" t="s">
        <v>216</v>
      </c>
      <c r="Y35" s="95">
        <f>SUM(+Y18+Y19+Y20)</f>
        <v>995145.89848242793</v>
      </c>
      <c r="Z35" s="73"/>
      <c r="AA35" s="59" t="s">
        <v>216</v>
      </c>
      <c r="AB35" s="13">
        <f>+AB8*Y35</f>
        <v>995145898.48242795</v>
      </c>
      <c r="AC35" s="13">
        <f>+AC8*Y35</f>
        <v>99514589848.242798</v>
      </c>
      <c r="AD35" s="55"/>
      <c r="AE35" s="83"/>
      <c r="AF35" s="83"/>
    </row>
    <row r="36" spans="1:32">
      <c r="A36" s="1" t="s">
        <v>82</v>
      </c>
      <c r="B36" s="13"/>
      <c r="C36" s="13"/>
      <c r="D36" s="13">
        <f t="shared" ref="D36:V36" si="22">+D13-C13</f>
        <v>42000</v>
      </c>
      <c r="E36" s="13">
        <f t="shared" si="22"/>
        <v>29680</v>
      </c>
      <c r="F36" s="13">
        <f t="shared" si="22"/>
        <v>30867.20000000007</v>
      </c>
      <c r="G36" s="13">
        <f t="shared" si="22"/>
        <v>32101.888000000035</v>
      </c>
      <c r="H36" s="13">
        <f t="shared" si="22"/>
        <v>33385.96351999999</v>
      </c>
      <c r="I36" s="13">
        <f t="shared" si="22"/>
        <v>34721.402060799999</v>
      </c>
      <c r="J36" s="13">
        <f t="shared" si="22"/>
        <v>36110.258143232088</v>
      </c>
      <c r="K36" s="13">
        <f t="shared" si="22"/>
        <v>37554.668468961376</v>
      </c>
      <c r="L36" s="13">
        <f t="shared" si="22"/>
        <v>39056.855207719724</v>
      </c>
      <c r="M36" s="13">
        <f t="shared" si="22"/>
        <v>40619.129416028503</v>
      </c>
      <c r="N36" s="13">
        <f t="shared" si="22"/>
        <v>42243.894592669792</v>
      </c>
      <c r="O36" s="13">
        <f t="shared" si="22"/>
        <v>43933.650376376463</v>
      </c>
      <c r="P36" s="13">
        <f t="shared" si="22"/>
        <v>45690.996391431661</v>
      </c>
      <c r="Q36" s="13">
        <f t="shared" si="22"/>
        <v>47518.6362470889</v>
      </c>
      <c r="R36" s="13">
        <f t="shared" si="22"/>
        <v>49419.381696972298</v>
      </c>
      <c r="S36" s="13">
        <f t="shared" si="22"/>
        <v>51396.15696485131</v>
      </c>
      <c r="T36" s="13">
        <f t="shared" si="22"/>
        <v>53452.003243445419</v>
      </c>
      <c r="U36" s="13">
        <f t="shared" si="22"/>
        <v>55590.083373183152</v>
      </c>
      <c r="V36" s="13">
        <f t="shared" si="22"/>
        <v>57813.686708110385</v>
      </c>
      <c r="W36" s="13"/>
      <c r="X36" s="59" t="s">
        <v>217</v>
      </c>
      <c r="Y36" s="95">
        <f>SUM(D36:V36)+C13</f>
        <v>1503155.8544108712</v>
      </c>
      <c r="Z36" s="73"/>
      <c r="AA36" s="59" t="s">
        <v>217</v>
      </c>
      <c r="AB36" s="13">
        <f>+AB8*Y36</f>
        <v>1503155854.4108713</v>
      </c>
      <c r="AC36" s="13">
        <f>+AC8*Y36</f>
        <v>150315585441.08713</v>
      </c>
      <c r="AD36" s="55"/>
      <c r="AE36" s="96"/>
      <c r="AF36" s="96"/>
    </row>
    <row r="37" spans="1:32">
      <c r="A37" s="16" t="s">
        <v>83</v>
      </c>
      <c r="B37" s="62"/>
      <c r="C37" s="62"/>
      <c r="D37" s="62">
        <f t="shared" ref="D37:V37" si="23">+D36/D35*100</f>
        <v>117.64705882352942</v>
      </c>
      <c r="E37" s="62">
        <f t="shared" si="23"/>
        <v>117.64705882352942</v>
      </c>
      <c r="F37" s="62">
        <f t="shared" si="23"/>
        <v>117.64705882352942</v>
      </c>
      <c r="G37" s="62">
        <f t="shared" si="23"/>
        <v>117.64705882352942</v>
      </c>
      <c r="H37" s="62">
        <f t="shared" si="23"/>
        <v>117.64705882352942</v>
      </c>
      <c r="I37" s="62">
        <f t="shared" si="23"/>
        <v>117.64705882352942</v>
      </c>
      <c r="J37" s="62">
        <f t="shared" si="23"/>
        <v>117.64705882352942</v>
      </c>
      <c r="K37" s="62">
        <f t="shared" si="23"/>
        <v>117.64705882352942</v>
      </c>
      <c r="L37" s="62">
        <f t="shared" si="23"/>
        <v>117.64705882352942</v>
      </c>
      <c r="M37" s="62">
        <f t="shared" si="23"/>
        <v>117.64705882352942</v>
      </c>
      <c r="N37" s="62">
        <f t="shared" si="23"/>
        <v>117.64705882352942</v>
      </c>
      <c r="O37" s="62">
        <f t="shared" si="23"/>
        <v>117.64705882352942</v>
      </c>
      <c r="P37" s="62">
        <f t="shared" si="23"/>
        <v>117.64705882352942</v>
      </c>
      <c r="Q37" s="62">
        <f t="shared" si="23"/>
        <v>117.64705882352942</v>
      </c>
      <c r="R37" s="62">
        <f t="shared" si="23"/>
        <v>117.64705882352942</v>
      </c>
      <c r="S37" s="62">
        <f t="shared" si="23"/>
        <v>117.64705882352942</v>
      </c>
      <c r="T37" s="62">
        <f t="shared" si="23"/>
        <v>117.64705882352942</v>
      </c>
      <c r="U37" s="62">
        <f t="shared" si="23"/>
        <v>117.64705882352942</v>
      </c>
      <c r="V37" s="62">
        <f t="shared" si="23"/>
        <v>117.64705882352942</v>
      </c>
      <c r="W37" s="62"/>
      <c r="X37" s="97" t="s">
        <v>83</v>
      </c>
      <c r="Y37" s="98">
        <f>+Y36/Y35</f>
        <v>1.5104879160966702</v>
      </c>
      <c r="Z37" s="99"/>
      <c r="AA37" s="97" t="s">
        <v>218</v>
      </c>
      <c r="AB37" s="100">
        <f>+AB36/AB35-1</f>
        <v>0.51048791609667044</v>
      </c>
      <c r="AC37" s="100">
        <f>+AC36/AC35-1</f>
        <v>0.51048791609667044</v>
      </c>
      <c r="AD37" s="65"/>
      <c r="AE37" s="13"/>
      <c r="AF37" s="13"/>
    </row>
    <row r="38" spans="1:32">
      <c r="B38" s="13"/>
      <c r="C38" s="13"/>
      <c r="D38" s="13"/>
      <c r="E38" s="13"/>
      <c r="F38" s="13"/>
      <c r="G38" s="13"/>
      <c r="H38" s="13"/>
      <c r="I38" s="13"/>
      <c r="J38" s="13"/>
      <c r="K38" s="13"/>
      <c r="L38" s="13"/>
      <c r="M38" s="13"/>
      <c r="N38" s="13"/>
      <c r="O38" s="13"/>
      <c r="P38" s="13"/>
      <c r="Q38" s="13"/>
      <c r="R38" s="13"/>
      <c r="S38" s="13"/>
      <c r="T38" s="13"/>
      <c r="U38" s="13"/>
      <c r="V38" s="13"/>
      <c r="W38" s="13"/>
      <c r="X38" s="59"/>
      <c r="Y38" s="95"/>
      <c r="Z38" s="101"/>
      <c r="AA38" s="102"/>
      <c r="AB38" s="103"/>
      <c r="AC38" s="103"/>
      <c r="AD38" s="104"/>
      <c r="AE38" s="86"/>
      <c r="AF38" s="86"/>
    </row>
    <row r="39" spans="1:32">
      <c r="A39" s="17" t="s">
        <v>219</v>
      </c>
      <c r="X39" s="59"/>
      <c r="Z39" s="55"/>
      <c r="AA39" s="105"/>
      <c r="AB39" s="13"/>
      <c r="AC39" s="13"/>
      <c r="AE39" s="86"/>
      <c r="AF39" s="91"/>
    </row>
    <row r="40" spans="1:32">
      <c r="A40" s="12" t="s">
        <v>220</v>
      </c>
      <c r="X40" s="59" t="s">
        <v>221</v>
      </c>
      <c r="Z40" s="55"/>
      <c r="AA40" s="106"/>
      <c r="AB40" s="13"/>
      <c r="AC40" s="13"/>
      <c r="AE40" s="93"/>
      <c r="AF40" s="94"/>
    </row>
    <row r="41" spans="1:32">
      <c r="A41" s="12" t="s">
        <v>222</v>
      </c>
      <c r="X41" s="59" t="s">
        <v>223</v>
      </c>
      <c r="Z41" s="55"/>
      <c r="AA41" s="107"/>
      <c r="AE41" s="96"/>
      <c r="AF41" s="108"/>
    </row>
    <row r="42" spans="1:32">
      <c r="A42" s="21" t="s">
        <v>224</v>
      </c>
      <c r="X42" s="59" t="s">
        <v>225</v>
      </c>
      <c r="Z42" s="55"/>
      <c r="AA42" s="107"/>
    </row>
    <row r="43" spans="1:32">
      <c r="A43" s="1" t="s">
        <v>226</v>
      </c>
      <c r="X43" s="59" t="s">
        <v>227</v>
      </c>
      <c r="Z43" s="55"/>
      <c r="AA43" s="107"/>
    </row>
    <row r="44" spans="1:32">
      <c r="X44" s="109"/>
      <c r="Y44" s="110"/>
      <c r="Z44" s="104"/>
    </row>
    <row r="45" spans="1:32">
      <c r="A45" s="27" t="s">
        <v>84</v>
      </c>
      <c r="B45" s="28"/>
      <c r="C45" s="28"/>
      <c r="D45" s="28"/>
      <c r="E45" s="28"/>
      <c r="F45" s="28"/>
      <c r="G45" s="28"/>
      <c r="H45" s="28"/>
      <c r="I45" s="28"/>
      <c r="J45" s="28"/>
      <c r="K45" s="28"/>
      <c r="L45" s="28"/>
      <c r="M45" s="28"/>
      <c r="N45" s="28"/>
      <c r="O45" s="28"/>
      <c r="P45" s="28"/>
      <c r="Q45" s="28"/>
      <c r="R45" s="28"/>
      <c r="S45" s="28"/>
      <c r="T45" s="28"/>
      <c r="U45" s="28"/>
      <c r="V45" s="28"/>
      <c r="W45" s="28"/>
      <c r="X45" s="17"/>
      <c r="Y45" s="28"/>
      <c r="Z45" s="28"/>
      <c r="AA45" s="17"/>
      <c r="AB45" s="28"/>
      <c r="AC45" s="28"/>
    </row>
    <row r="46" spans="1:32">
      <c r="A46" s="28" t="s">
        <v>85</v>
      </c>
      <c r="B46" s="28"/>
      <c r="C46" s="28"/>
      <c r="D46" s="28"/>
      <c r="E46" s="28"/>
      <c r="F46" s="28"/>
      <c r="G46" s="28"/>
      <c r="H46" s="28"/>
      <c r="I46" s="28"/>
      <c r="J46" s="28"/>
      <c r="K46" s="28"/>
      <c r="L46" s="28"/>
      <c r="M46" s="28"/>
      <c r="N46" s="28"/>
      <c r="O46" s="28"/>
      <c r="P46" s="28"/>
      <c r="Q46" s="28"/>
      <c r="R46" s="28"/>
      <c r="S46" s="28"/>
      <c r="T46" s="28"/>
      <c r="U46" s="28"/>
      <c r="V46" s="28"/>
      <c r="W46" s="28"/>
      <c r="X46" s="111"/>
      <c r="Y46" s="28"/>
      <c r="Z46" s="28"/>
      <c r="AA46" s="111"/>
      <c r="AB46" s="28"/>
      <c r="AC46" s="28"/>
    </row>
    <row r="47" spans="1:32">
      <c r="A47" s="28" t="s">
        <v>86</v>
      </c>
      <c r="B47" s="28"/>
      <c r="C47" s="28"/>
      <c r="D47" s="28"/>
      <c r="E47" s="28"/>
      <c r="F47" s="28"/>
      <c r="G47" s="28"/>
      <c r="H47" s="28"/>
      <c r="I47" s="28"/>
      <c r="J47" s="28"/>
      <c r="K47" s="28"/>
      <c r="L47" s="28"/>
      <c r="M47" s="28"/>
      <c r="N47" s="28"/>
      <c r="O47" s="28"/>
      <c r="P47" s="28"/>
      <c r="Q47" s="28"/>
      <c r="R47" s="28"/>
      <c r="S47" s="28"/>
      <c r="T47" s="28"/>
      <c r="U47" s="28"/>
      <c r="V47" s="28"/>
      <c r="W47" s="28"/>
      <c r="X47" s="111"/>
      <c r="Y47" s="111"/>
      <c r="Z47" s="28"/>
      <c r="AA47" s="111"/>
      <c r="AB47" s="112"/>
      <c r="AC47" s="112"/>
    </row>
    <row r="48" spans="1:32">
      <c r="A48" s="28" t="s">
        <v>87</v>
      </c>
      <c r="B48" s="28"/>
      <c r="C48" s="28"/>
      <c r="D48" s="28"/>
      <c r="E48" s="28"/>
      <c r="F48" s="28"/>
      <c r="G48" s="28"/>
      <c r="H48" s="28"/>
      <c r="I48" s="28"/>
      <c r="J48" s="28"/>
      <c r="K48" s="28"/>
      <c r="L48" s="28"/>
      <c r="M48" s="28"/>
      <c r="N48" s="28"/>
      <c r="O48" s="28"/>
      <c r="P48" s="28"/>
      <c r="Q48" s="28"/>
      <c r="R48" s="28"/>
      <c r="S48" s="28"/>
      <c r="T48" s="28"/>
      <c r="U48" s="28"/>
      <c r="V48" s="28"/>
      <c r="W48" s="28"/>
      <c r="X48" s="111"/>
      <c r="Y48" s="112"/>
      <c r="Z48" s="28"/>
      <c r="AA48" s="111"/>
      <c r="AB48" s="112"/>
      <c r="AC48" s="112"/>
    </row>
    <row r="49" spans="1:30">
      <c r="A49" s="28" t="s">
        <v>88</v>
      </c>
      <c r="B49" s="28"/>
      <c r="C49" s="28"/>
      <c r="D49" s="28"/>
      <c r="E49" s="28"/>
      <c r="F49" s="28"/>
      <c r="G49" s="28"/>
      <c r="H49" s="28"/>
      <c r="I49" s="28"/>
      <c r="J49" s="28"/>
      <c r="K49" s="28"/>
      <c r="L49" s="28"/>
      <c r="M49" s="28"/>
      <c r="N49" s="28"/>
      <c r="O49" s="28"/>
      <c r="P49" s="28"/>
      <c r="Q49" s="28"/>
      <c r="R49" s="28"/>
      <c r="S49" s="28"/>
      <c r="T49" s="28"/>
      <c r="U49" s="28"/>
      <c r="V49" s="28"/>
      <c r="W49" s="28"/>
      <c r="X49" s="111"/>
      <c r="Y49" s="112"/>
      <c r="Z49" s="28"/>
      <c r="AA49" s="111"/>
      <c r="AB49" s="112"/>
      <c r="AC49" s="112"/>
    </row>
    <row r="50" spans="1:30">
      <c r="A50" s="30" t="s">
        <v>228</v>
      </c>
      <c r="X50" s="111"/>
      <c r="Y50" s="113"/>
      <c r="AA50" s="111"/>
      <c r="AB50" s="112"/>
      <c r="AC50" s="112"/>
    </row>
    <row r="51" spans="1:30">
      <c r="A51" s="30" t="s">
        <v>229</v>
      </c>
    </row>
    <row r="52" spans="1:30">
      <c r="A52" s="30" t="s">
        <v>230</v>
      </c>
      <c r="AA52" s="114"/>
      <c r="AB52" s="114"/>
      <c r="AC52" s="114"/>
    </row>
    <row r="53" spans="1:30">
      <c r="A53" s="30" t="s">
        <v>231</v>
      </c>
      <c r="AA53" s="13"/>
      <c r="AB53" s="13"/>
      <c r="AC53" s="13"/>
    </row>
    <row r="54" spans="1:30">
      <c r="A54" s="30"/>
      <c r="AA54" s="13"/>
      <c r="AB54" s="13"/>
      <c r="AC54" s="13"/>
    </row>
    <row r="55" spans="1:30">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13"/>
      <c r="AB55" s="13"/>
      <c r="AC55" s="13"/>
    </row>
    <row r="56" spans="1:30">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1" workbookViewId="0">
      <selection activeCell="D42" sqref="D42"/>
    </sheetView>
  </sheetViews>
  <sheetFormatPr defaultColWidth="11.5546875" defaultRowHeight="13.2"/>
  <cols>
    <col min="1" max="1" width="14.33203125" style="1" customWidth="1"/>
    <col min="2" max="6" width="11.5546875" style="1"/>
    <col min="7" max="7" width="19" style="1" customWidth="1"/>
    <col min="8" max="16384" width="11.5546875" style="1"/>
  </cols>
  <sheetData>
    <row r="1" spans="1:6">
      <c r="A1" s="16" t="s">
        <v>232</v>
      </c>
    </row>
    <row r="3" spans="1:6">
      <c r="A3" s="1" t="s">
        <v>233</v>
      </c>
    </row>
    <row r="4" spans="1:6">
      <c r="A4" s="1" t="s">
        <v>25</v>
      </c>
      <c r="B4" s="1" t="s">
        <v>234</v>
      </c>
      <c r="C4" s="1" t="s">
        <v>235</v>
      </c>
      <c r="D4" s="1" t="s">
        <v>31</v>
      </c>
      <c r="E4" s="1" t="s">
        <v>236</v>
      </c>
      <c r="F4" s="1" t="s">
        <v>237</v>
      </c>
    </row>
    <row r="5" spans="1:6">
      <c r="A5" s="1">
        <v>2006</v>
      </c>
      <c r="B5" s="1">
        <v>83748</v>
      </c>
      <c r="C5" s="1">
        <v>84176</v>
      </c>
      <c r="D5" s="8">
        <f t="shared" ref="D5:D11" si="0">+B5+C5</f>
        <v>167924</v>
      </c>
      <c r="F5" s="1" t="s">
        <v>238</v>
      </c>
    </row>
    <row r="6" spans="1:6">
      <c r="A6" s="1">
        <v>2007</v>
      </c>
      <c r="B6" s="1">
        <v>88718</v>
      </c>
      <c r="C6" s="1">
        <v>88719</v>
      </c>
      <c r="D6" s="8">
        <f t="shared" si="0"/>
        <v>177437</v>
      </c>
      <c r="E6" s="8">
        <f t="shared" ref="E6:E11" si="1">+D6-D5</f>
        <v>9513</v>
      </c>
      <c r="F6" s="20">
        <f t="shared" ref="F6:F11" si="2">+D6/D5</f>
        <v>1.0566506276648959</v>
      </c>
    </row>
    <row r="7" spans="1:6">
      <c r="A7" s="1">
        <v>2008</v>
      </c>
      <c r="B7" s="1">
        <v>89048</v>
      </c>
      <c r="C7" s="1">
        <v>89887</v>
      </c>
      <c r="D7" s="8">
        <f t="shared" si="0"/>
        <v>178935</v>
      </c>
      <c r="E7" s="8">
        <f t="shared" si="1"/>
        <v>1498</v>
      </c>
      <c r="F7" s="20">
        <f t="shared" si="2"/>
        <v>1.0084424330889274</v>
      </c>
    </row>
    <row r="8" spans="1:6">
      <c r="A8" s="1">
        <v>2009</v>
      </c>
      <c r="B8" s="1">
        <v>97797</v>
      </c>
      <c r="C8" s="1">
        <v>98460</v>
      </c>
      <c r="D8" s="8">
        <f t="shared" si="0"/>
        <v>196257</v>
      </c>
      <c r="E8" s="8">
        <f t="shared" si="1"/>
        <v>17322</v>
      </c>
      <c r="F8" s="20">
        <f t="shared" si="2"/>
        <v>1.0968061027747507</v>
      </c>
    </row>
    <row r="9" spans="1:6">
      <c r="A9" s="1">
        <v>2010</v>
      </c>
      <c r="B9" s="1">
        <v>101998</v>
      </c>
      <c r="C9" s="1">
        <v>102697</v>
      </c>
      <c r="D9" s="8">
        <f t="shared" si="0"/>
        <v>204695</v>
      </c>
      <c r="E9" s="8">
        <f t="shared" si="1"/>
        <v>8438</v>
      </c>
      <c r="F9" s="20">
        <f t="shared" si="2"/>
        <v>1.0429946447770015</v>
      </c>
    </row>
    <row r="10" spans="1:6">
      <c r="A10" s="1">
        <v>2011</v>
      </c>
      <c r="B10" s="1">
        <v>106295</v>
      </c>
      <c r="C10" s="1">
        <v>106032</v>
      </c>
      <c r="D10" s="8">
        <f t="shared" si="0"/>
        <v>212327</v>
      </c>
      <c r="E10" s="8">
        <f t="shared" si="1"/>
        <v>7632</v>
      </c>
      <c r="F10" s="20">
        <f t="shared" si="2"/>
        <v>1.0372847407117907</v>
      </c>
    </row>
    <row r="11" spans="1:6">
      <c r="A11" s="1">
        <v>2012</v>
      </c>
      <c r="B11" s="1">
        <v>124545</v>
      </c>
      <c r="C11" s="1">
        <v>125248</v>
      </c>
      <c r="D11" s="8">
        <f t="shared" si="0"/>
        <v>249793</v>
      </c>
      <c r="E11" s="8">
        <f t="shared" si="1"/>
        <v>37466</v>
      </c>
      <c r="F11" s="20">
        <f t="shared" si="2"/>
        <v>1.1764542427482139</v>
      </c>
    </row>
    <row r="12" spans="1:6">
      <c r="F12" s="115">
        <f>SUM(F6:F11)</f>
        <v>6.4186327917655799</v>
      </c>
    </row>
    <row r="13" spans="1:6">
      <c r="E13" s="1" t="s">
        <v>29</v>
      </c>
      <c r="F13" s="20">
        <f>+F12/6</f>
        <v>1.0697721319609299</v>
      </c>
    </row>
    <row r="14" spans="1:6">
      <c r="A14" s="1" t="s">
        <v>239</v>
      </c>
    </row>
    <row r="15" spans="1:6">
      <c r="E15" s="1" t="s">
        <v>240</v>
      </c>
      <c r="F15" s="1" t="s">
        <v>241</v>
      </c>
    </row>
    <row r="16" spans="1:6">
      <c r="A16" s="1" t="s">
        <v>242</v>
      </c>
      <c r="B16" s="1">
        <v>5964</v>
      </c>
      <c r="C16" s="1">
        <v>3569</v>
      </c>
      <c r="D16" s="8">
        <f t="shared" ref="D16:D22" si="3">+B16+C16</f>
        <v>9533</v>
      </c>
      <c r="E16" s="20">
        <f t="shared" ref="E16:E22" si="4">+D16/$D$23</f>
        <v>8.1282027233273366E-2</v>
      </c>
      <c r="F16" s="12">
        <f t="shared" ref="F16:F22" si="5">+D16/5</f>
        <v>1906.6</v>
      </c>
    </row>
    <row r="17" spans="1:6">
      <c r="A17" s="1" t="s">
        <v>243</v>
      </c>
      <c r="B17" s="1">
        <v>7569</v>
      </c>
      <c r="C17" s="1">
        <v>4924</v>
      </c>
      <c r="D17" s="8">
        <f t="shared" si="3"/>
        <v>12493</v>
      </c>
      <c r="E17" s="20">
        <f t="shared" si="4"/>
        <v>0.10652012653155189</v>
      </c>
      <c r="F17" s="12">
        <f t="shared" si="5"/>
        <v>2498.6</v>
      </c>
    </row>
    <row r="18" spans="1:6">
      <c r="A18" s="1" t="s">
        <v>244</v>
      </c>
      <c r="B18" s="1">
        <v>9748</v>
      </c>
      <c r="C18" s="1">
        <v>6750</v>
      </c>
      <c r="D18" s="8">
        <f t="shared" si="3"/>
        <v>16498</v>
      </c>
      <c r="E18" s="20">
        <f t="shared" si="4"/>
        <v>0.14066829804831049</v>
      </c>
      <c r="F18" s="12">
        <f t="shared" si="5"/>
        <v>3299.6</v>
      </c>
    </row>
    <row r="19" spans="1:6">
      <c r="A19" s="1" t="s">
        <v>245</v>
      </c>
      <c r="B19" s="1">
        <v>12946</v>
      </c>
      <c r="C19" s="1">
        <v>11376</v>
      </c>
      <c r="D19" s="8">
        <f t="shared" si="3"/>
        <v>24322</v>
      </c>
      <c r="E19" s="20">
        <f t="shared" si="4"/>
        <v>0.20737873349078725</v>
      </c>
      <c r="F19" s="12">
        <f t="shared" si="5"/>
        <v>4864.3999999999996</v>
      </c>
    </row>
    <row r="20" spans="1:6">
      <c r="A20" s="1" t="s">
        <v>246</v>
      </c>
      <c r="B20" s="1">
        <v>12393</v>
      </c>
      <c r="C20" s="1">
        <v>15540</v>
      </c>
      <c r="D20" s="8">
        <f t="shared" si="3"/>
        <v>27933</v>
      </c>
      <c r="E20" s="20">
        <f t="shared" si="4"/>
        <v>0.23816750935770742</v>
      </c>
      <c r="F20" s="12">
        <f t="shared" si="5"/>
        <v>5586.6</v>
      </c>
    </row>
    <row r="21" spans="1:6">
      <c r="A21" s="1" t="s">
        <v>247</v>
      </c>
      <c r="B21" s="1">
        <v>6711</v>
      </c>
      <c r="C21" s="1">
        <v>12179</v>
      </c>
      <c r="D21" s="8">
        <f t="shared" si="3"/>
        <v>18890</v>
      </c>
      <c r="E21" s="20">
        <f t="shared" si="4"/>
        <v>0.16106341072448693</v>
      </c>
      <c r="F21" s="12">
        <f t="shared" si="5"/>
        <v>3778</v>
      </c>
    </row>
    <row r="22" spans="1:6">
      <c r="A22" s="1" t="s">
        <v>248</v>
      </c>
      <c r="B22" s="1">
        <v>1986</v>
      </c>
      <c r="C22" s="1">
        <v>5628</v>
      </c>
      <c r="D22" s="8">
        <f t="shared" si="3"/>
        <v>7614</v>
      </c>
      <c r="E22" s="20">
        <f t="shared" si="4"/>
        <v>6.4919894613882659E-2</v>
      </c>
      <c r="F22" s="12">
        <f t="shared" si="5"/>
        <v>1522.8</v>
      </c>
    </row>
    <row r="23" spans="1:6">
      <c r="D23" s="8">
        <f>SUM(D16:D22)</f>
        <v>117283</v>
      </c>
      <c r="E23" s="20">
        <f>SUM(E16:E22)</f>
        <v>1</v>
      </c>
      <c r="F23" s="12">
        <f>SUM(F16:F22)</f>
        <v>23456.6</v>
      </c>
    </row>
    <row r="24" spans="1:6">
      <c r="F24" s="8">
        <f>+F23*5</f>
        <v>117283</v>
      </c>
    </row>
    <row r="25" spans="1:6">
      <c r="A25" s="1" t="s">
        <v>249</v>
      </c>
    </row>
    <row r="26" spans="1:6">
      <c r="A26" s="12">
        <f>+D23/7</f>
        <v>16754.714285714286</v>
      </c>
      <c r="B26" s="34">
        <f>+A26/D23</f>
        <v>0.14285714285714285</v>
      </c>
    </row>
    <row r="28" spans="1:6">
      <c r="A28" s="1" t="s">
        <v>250</v>
      </c>
    </row>
    <row r="29" spans="1:6">
      <c r="A29" s="1" t="s">
        <v>251</v>
      </c>
    </row>
    <row r="30" spans="1:6">
      <c r="A30" s="1" t="s">
        <v>252</v>
      </c>
    </row>
    <row r="33" spans="1:4">
      <c r="A33" s="1" t="s">
        <v>253</v>
      </c>
      <c r="B33" s="1" t="s">
        <v>58</v>
      </c>
      <c r="C33" s="1" t="s">
        <v>254</v>
      </c>
      <c r="D33" s="1" t="s">
        <v>255</v>
      </c>
    </row>
    <row r="34" spans="1:4">
      <c r="A34" s="8">
        <f>+D23</f>
        <v>117283</v>
      </c>
      <c r="B34" s="1" t="s">
        <v>256</v>
      </c>
    </row>
    <row r="35" spans="1:4">
      <c r="A35" s="13"/>
      <c r="B35" s="12">
        <f t="shared" ref="B35:B41" si="6">+F16</f>
        <v>1906.6</v>
      </c>
      <c r="C35" s="20">
        <f t="shared" ref="C35:C41" si="7">+B35/$A$34</f>
        <v>1.6256405446654673E-2</v>
      </c>
      <c r="D35" s="12">
        <f t="shared" ref="D35:D41" si="8">+C35*1000</f>
        <v>16.256405446654671</v>
      </c>
    </row>
    <row r="36" spans="1:4">
      <c r="A36" s="13"/>
      <c r="B36" s="12">
        <f t="shared" si="6"/>
        <v>2498.6</v>
      </c>
      <c r="C36" s="20">
        <f t="shared" si="7"/>
        <v>2.1304025306310377E-2</v>
      </c>
      <c r="D36" s="12">
        <f t="shared" si="8"/>
        <v>21.304025306310375</v>
      </c>
    </row>
    <row r="37" spans="1:4">
      <c r="A37" s="13"/>
      <c r="B37" s="12">
        <f t="shared" si="6"/>
        <v>3299.6</v>
      </c>
      <c r="C37" s="20">
        <f t="shared" si="7"/>
        <v>2.8133659609662097E-2</v>
      </c>
      <c r="D37" s="12">
        <f t="shared" si="8"/>
        <v>28.133659609662097</v>
      </c>
    </row>
    <row r="38" spans="1:4">
      <c r="A38" s="13"/>
      <c r="B38" s="12">
        <f t="shared" si="6"/>
        <v>4864.3999999999996</v>
      </c>
      <c r="C38" s="20">
        <f t="shared" si="7"/>
        <v>4.1475746698157442E-2</v>
      </c>
      <c r="D38" s="12">
        <f t="shared" si="8"/>
        <v>41.475746698157444</v>
      </c>
    </row>
    <row r="39" spans="1:4">
      <c r="A39" s="13"/>
      <c r="B39" s="12">
        <f t="shared" si="6"/>
        <v>5586.6</v>
      </c>
      <c r="C39" s="20">
        <f t="shared" si="7"/>
        <v>4.7633501871541487E-2</v>
      </c>
      <c r="D39" s="12">
        <f t="shared" si="8"/>
        <v>47.633501871541483</v>
      </c>
    </row>
    <row r="40" spans="1:4">
      <c r="A40" s="13"/>
      <c r="B40" s="12">
        <f t="shared" si="6"/>
        <v>3778</v>
      </c>
      <c r="C40" s="20">
        <f t="shared" si="7"/>
        <v>3.2212682144897385E-2</v>
      </c>
      <c r="D40" s="12">
        <f t="shared" si="8"/>
        <v>32.212682144897386</v>
      </c>
    </row>
    <row r="41" spans="1:4">
      <c r="A41" s="13"/>
      <c r="B41" s="12">
        <f t="shared" si="6"/>
        <v>1522.8</v>
      </c>
      <c r="C41" s="20">
        <f t="shared" si="7"/>
        <v>1.2983978922776532E-2</v>
      </c>
      <c r="D41" s="12">
        <f t="shared" si="8"/>
        <v>12.983978922776533</v>
      </c>
    </row>
    <row r="42" spans="1:4">
      <c r="C42" s="12"/>
      <c r="D42" s="12"/>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Cash flow</vt:lpstr>
      <vt:lpstr>MyPlan</vt:lpstr>
      <vt:lpstr>choices</vt:lpstr>
      <vt:lpstr>House values</vt:lpstr>
      <vt:lpstr>Popn. statistics</vt:lpstr>
    </vt:vector>
  </TitlesOfParts>
  <Company>Peter Hall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Submission 1 - Attachment - Peter Hall - Superannuation Competitiveness and Efficiency - Commissioned study</dc:title>
  <dc:creator>Peter Hall</dc:creator>
  <cp:lastModifiedBy>Productivity Commission</cp:lastModifiedBy>
  <dcterms:created xsi:type="dcterms:W3CDTF">2016-03-01T04:04:37Z</dcterms:created>
  <dcterms:modified xsi:type="dcterms:W3CDTF">2016-03-01T23:32:32Z</dcterms:modified>
</cp:coreProperties>
</file>