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omments1.xml" ContentType="application/vnd.openxmlformats-officedocument.spreadsheetml.comment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quiry\current\superannuation\stage3-assessment\submissions\"/>
    </mc:Choice>
  </mc:AlternateContent>
  <bookViews>
    <workbookView xWindow="240" yWindow="120" windowWidth="15648" windowHeight="7296"/>
  </bookViews>
  <sheets>
    <sheet name="Front" sheetId="7" r:id="rId1"/>
    <sheet name="Model" sheetId="1" r:id="rId2"/>
    <sheet name="Workings" sheetId="2" r:id="rId3"/>
    <sheet name="Life tables" sheetId="3" r:id="rId4"/>
    <sheet name="Taxtables" sheetId="4" r:id="rId5"/>
    <sheet name="Returns" sheetId="6" r:id="rId6"/>
    <sheet name="Graphdata" sheetId="5" r:id="rId7"/>
  </sheets>
  <definedNames>
    <definedName name="Anny">Model!$C$35</definedName>
    <definedName name="Averinc">Workings!$E$89</definedName>
    <definedName name="Breakage">Model!$C$9</definedName>
    <definedName name="Breakfrac">Model!$C$11</definedName>
    <definedName name="Breakyrs">Model!$C$10</definedName>
    <definedName name="Cocont">Model!$I$22</definedName>
    <definedName name="Commage">Model!$C$4</definedName>
    <definedName name="Commsal">Model!$C$6</definedName>
    <definedName name="Concessional">Model!$K$15</definedName>
    <definedName name="Conttax">Model!$C$19</definedName>
    <definedName name="Earn">Model!$C$25</definedName>
    <definedName name="Earntax">Model!$C$20</definedName>
    <definedName name="Finage">Model!$C$5</definedName>
    <definedName name="Finnet">Taxtables!$E$25</definedName>
    <definedName name="Finsal">Model!$C$7</definedName>
    <definedName name="Fixfees">Model!$C$27</definedName>
    <definedName name="Liftab">'Life tables'!$B$5:$E$106</definedName>
    <definedName name="Litobase">Taxtables!$D$14</definedName>
    <definedName name="Litomax">Taxtables!$C$16</definedName>
    <definedName name="Litomin">Taxtables!$C$15</definedName>
    <definedName name="Litotaper">Taxtables!$C$17</definedName>
    <definedName name="Lumpage">Model!$C$13</definedName>
    <definedName name="Lumpsum">Model!$C$14</definedName>
    <definedName name="Mlevy">Taxtables!$E$12</definedName>
    <definedName name="Perfees">Model!$C$26</definedName>
    <definedName name="Rudd500">Model!$I$21</definedName>
    <definedName name="SGLrate">Model!$C$18</definedName>
    <definedName name="SMSF">Model!$I$28</definedName>
    <definedName name="SMSFfees">Model!$C$30</definedName>
    <definedName name="SMSFthres">Model!$C$29</definedName>
    <definedName name="Taxtable">Taxtables!$B$4:$E$10</definedName>
    <definedName name="Workmatrix">Workings!$B$4:$S$85</definedName>
    <definedName name="Yrsann">Model!$C$34</definedName>
  </definedNames>
  <calcPr calcId="152511"/>
</workbook>
</file>

<file path=xl/calcChain.xml><?xml version="1.0" encoding="utf-8"?>
<calcChain xmlns="http://schemas.openxmlformats.org/spreadsheetml/2006/main">
  <c r="G41" i="1" l="1"/>
  <c r="G40" i="1"/>
  <c r="E15" i="1" l="1"/>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B5" i="2"/>
  <c r="O5" i="2" s="1"/>
  <c r="M5" i="2"/>
  <c r="R5" i="2" s="1"/>
  <c r="P5" i="2"/>
  <c r="Q5" i="2"/>
  <c r="B8" i="4"/>
  <c r="E21" i="4"/>
  <c r="E23" i="4" s="1"/>
  <c r="B7" i="4"/>
  <c r="B9" i="4"/>
  <c r="D7" i="4"/>
  <c r="D8" i="4" s="1"/>
  <c r="D9" i="4" s="1"/>
  <c r="D10" i="4" s="1"/>
  <c r="B10" i="4"/>
  <c r="B38" i="1"/>
  <c r="B34" i="1"/>
  <c r="B7" i="3"/>
  <c r="B8" i="3"/>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33" i="1"/>
  <c r="E5" i="6"/>
  <c r="E6" i="6"/>
  <c r="E4" i="6"/>
  <c r="D7" i="6"/>
  <c r="E7" i="6"/>
  <c r="E9" i="6"/>
  <c r="B5" i="5" l="1"/>
  <c r="G5" i="5" s="1"/>
  <c r="B6" i="2"/>
  <c r="B7" i="2" s="1"/>
  <c r="B7" i="5" s="1"/>
  <c r="G7" i="5" s="1"/>
  <c r="C34" i="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D6" i="2"/>
  <c r="D5" i="2"/>
  <c r="E22" i="4"/>
  <c r="E25" i="4" s="1"/>
  <c r="B39" i="1" s="1"/>
  <c r="I7" i="2"/>
  <c r="I6" i="2"/>
  <c r="C5" i="2"/>
  <c r="E5" i="2" s="1"/>
  <c r="C6" i="2" l="1"/>
  <c r="E6" i="2" s="1"/>
  <c r="F6" i="2" s="1"/>
  <c r="H6" i="2" s="1"/>
  <c r="O6" i="2"/>
  <c r="O7" i="2"/>
  <c r="C7" i="2"/>
  <c r="G7" i="2" s="1"/>
  <c r="F7" i="5" s="1"/>
  <c r="B8" i="2"/>
  <c r="D7" i="2"/>
  <c r="B35" i="1"/>
  <c r="B6" i="5"/>
  <c r="G6" i="5" s="1"/>
  <c r="E34" i="1"/>
  <c r="I9" i="2"/>
  <c r="I8" i="2"/>
  <c r="F5" i="2"/>
  <c r="G5" i="2"/>
  <c r="F5" i="5" s="1"/>
  <c r="C5" i="5"/>
  <c r="I5" i="2"/>
  <c r="G6" i="2" l="1"/>
  <c r="F6" i="5" s="1"/>
  <c r="C6" i="5"/>
  <c r="D6" i="5" s="1"/>
  <c r="E6" i="5" s="1"/>
  <c r="H6" i="5" s="1"/>
  <c r="E7" i="2"/>
  <c r="B9" i="2"/>
  <c r="O8" i="2"/>
  <c r="B8" i="5"/>
  <c r="G8" i="5" s="1"/>
  <c r="C8" i="2"/>
  <c r="G8" i="2" s="1"/>
  <c r="F8" i="5" s="1"/>
  <c r="D8" i="2"/>
  <c r="J6" i="2"/>
  <c r="N6" i="2" s="1"/>
  <c r="D5" i="5"/>
  <c r="E5" i="5" s="1"/>
  <c r="H5" i="5" s="1"/>
  <c r="H5" i="2"/>
  <c r="J5" i="2" s="1"/>
  <c r="N5" i="2" s="1"/>
  <c r="S5" i="2" s="1"/>
  <c r="L6" i="2" s="1"/>
  <c r="E8" i="2" l="1"/>
  <c r="O9" i="2"/>
  <c r="B9" i="5"/>
  <c r="G9" i="5" s="1"/>
  <c r="C9" i="2"/>
  <c r="G9" i="2" s="1"/>
  <c r="F9" i="5" s="1"/>
  <c r="D9" i="2"/>
  <c r="B10" i="2"/>
  <c r="C7" i="5"/>
  <c r="F7" i="2"/>
  <c r="I10" i="2"/>
  <c r="P6" i="2"/>
  <c r="Q6" i="2"/>
  <c r="M6" i="2"/>
  <c r="R6" i="2" s="1"/>
  <c r="H7" i="2" l="1"/>
  <c r="J7" i="2" s="1"/>
  <c r="N7" i="2" s="1"/>
  <c r="D7" i="5"/>
  <c r="E7" i="5" s="1"/>
  <c r="H7" i="5" s="1"/>
  <c r="B11" i="2"/>
  <c r="D10" i="2"/>
  <c r="O10" i="2"/>
  <c r="B10" i="5"/>
  <c r="G10" i="5" s="1"/>
  <c r="C10" i="2"/>
  <c r="G10" i="2" s="1"/>
  <c r="F10" i="5" s="1"/>
  <c r="E9" i="2"/>
  <c r="F8" i="2"/>
  <c r="H8" i="2" s="1"/>
  <c r="J8" i="2" s="1"/>
  <c r="N8" i="2" s="1"/>
  <c r="C8" i="5"/>
  <c r="D8" i="5" s="1"/>
  <c r="E8" i="5" s="1"/>
  <c r="H8" i="5" s="1"/>
  <c r="I11" i="2"/>
  <c r="I12" i="2"/>
  <c r="S6" i="2"/>
  <c r="L7" i="2" s="1"/>
  <c r="E10" i="2" l="1"/>
  <c r="B11" i="5"/>
  <c r="G11" i="5" s="1"/>
  <c r="D11" i="2"/>
  <c r="C11" i="2"/>
  <c r="G11" i="2" s="1"/>
  <c r="F11" i="5" s="1"/>
  <c r="O11" i="2"/>
  <c r="B12" i="2"/>
  <c r="C9" i="5"/>
  <c r="D9" i="5" s="1"/>
  <c r="E9" i="5" s="1"/>
  <c r="H9" i="5" s="1"/>
  <c r="F9" i="2"/>
  <c r="H9" i="2" s="1"/>
  <c r="J9" i="2" s="1"/>
  <c r="N9" i="2" s="1"/>
  <c r="M7" i="2"/>
  <c r="R7" i="2" s="1"/>
  <c r="Q7" i="2"/>
  <c r="P7" i="2"/>
  <c r="E11" i="2" l="1"/>
  <c r="B12" i="5"/>
  <c r="G12" i="5" s="1"/>
  <c r="B13" i="2"/>
  <c r="O12" i="2"/>
  <c r="C12" i="2"/>
  <c r="G12" i="2" s="1"/>
  <c r="F12" i="5" s="1"/>
  <c r="D12" i="2"/>
  <c r="F11" i="2"/>
  <c r="H11" i="2" s="1"/>
  <c r="J11" i="2" s="1"/>
  <c r="N11" i="2" s="1"/>
  <c r="C11" i="5"/>
  <c r="D11" i="5" s="1"/>
  <c r="E11" i="5" s="1"/>
  <c r="H11" i="5" s="1"/>
  <c r="C10" i="5"/>
  <c r="D10" i="5" s="1"/>
  <c r="E10" i="5" s="1"/>
  <c r="H10" i="5" s="1"/>
  <c r="F10" i="2"/>
  <c r="H10" i="2" s="1"/>
  <c r="J10" i="2" s="1"/>
  <c r="N10" i="2" s="1"/>
  <c r="S7" i="2"/>
  <c r="L8" i="2" s="1"/>
  <c r="M8" i="2" s="1"/>
  <c r="R8" i="2" s="1"/>
  <c r="I14" i="2"/>
  <c r="I13" i="2"/>
  <c r="E12" i="2" l="1"/>
  <c r="O13" i="2"/>
  <c r="B14" i="2"/>
  <c r="D13" i="2"/>
  <c r="B13" i="5"/>
  <c r="G13" i="5" s="1"/>
  <c r="C13" i="2"/>
  <c r="G13" i="2" s="1"/>
  <c r="F13" i="5" s="1"/>
  <c r="P8" i="2"/>
  <c r="Q8" i="2"/>
  <c r="I15" i="2"/>
  <c r="E13" i="2" l="1"/>
  <c r="O14" i="2"/>
  <c r="D14" i="2"/>
  <c r="B14" i="5"/>
  <c r="G14" i="5" s="1"/>
  <c r="B15" i="2"/>
  <c r="C14" i="2"/>
  <c r="G14" i="2" s="1"/>
  <c r="F14" i="5" s="1"/>
  <c r="C12" i="5"/>
  <c r="D12" i="5" s="1"/>
  <c r="E12" i="5" s="1"/>
  <c r="H12" i="5" s="1"/>
  <c r="F12" i="2"/>
  <c r="H12" i="2" s="1"/>
  <c r="J12" i="2" s="1"/>
  <c r="N12" i="2" s="1"/>
  <c r="S8" i="2"/>
  <c r="L9" i="2" s="1"/>
  <c r="Q9" i="2" s="1"/>
  <c r="P9" i="2"/>
  <c r="M9" i="2"/>
  <c r="R9" i="2" s="1"/>
  <c r="O15" i="2" l="1"/>
  <c r="D15" i="2"/>
  <c r="B16" i="2"/>
  <c r="B15" i="5"/>
  <c r="G15" i="5" s="1"/>
  <c r="C15" i="2"/>
  <c r="G15" i="2" s="1"/>
  <c r="F15" i="5" s="1"/>
  <c r="E14" i="2"/>
  <c r="C13" i="5"/>
  <c r="D13" i="5" s="1"/>
  <c r="E13" i="5" s="1"/>
  <c r="H13" i="5" s="1"/>
  <c r="F13" i="2"/>
  <c r="H13" i="2" s="1"/>
  <c r="J13" i="2" s="1"/>
  <c r="N13" i="2" s="1"/>
  <c r="I16" i="2"/>
  <c r="S9" i="2"/>
  <c r="L10" i="2" s="1"/>
  <c r="B16" i="5" l="1"/>
  <c r="G16" i="5" s="1"/>
  <c r="D16" i="2"/>
  <c r="O16" i="2"/>
  <c r="B17" i="2"/>
  <c r="C16" i="2"/>
  <c r="G16" i="2" s="1"/>
  <c r="F16" i="5" s="1"/>
  <c r="E15" i="2"/>
  <c r="F14" i="2"/>
  <c r="H14" i="2" s="1"/>
  <c r="J14" i="2" s="1"/>
  <c r="N14" i="2" s="1"/>
  <c r="C14" i="5"/>
  <c r="D14" i="5" s="1"/>
  <c r="E14" i="5" s="1"/>
  <c r="H14" i="5" s="1"/>
  <c r="I17" i="2"/>
  <c r="Q10" i="2"/>
  <c r="M10" i="2"/>
  <c r="R10" i="2" s="1"/>
  <c r="P10" i="2"/>
  <c r="F15" i="2" l="1"/>
  <c r="H15" i="2" s="1"/>
  <c r="J15" i="2" s="1"/>
  <c r="N15" i="2" s="1"/>
  <c r="C15" i="5"/>
  <c r="D15" i="5" s="1"/>
  <c r="E15" i="5" s="1"/>
  <c r="H15" i="5" s="1"/>
  <c r="B17" i="5"/>
  <c r="G17" i="5" s="1"/>
  <c r="B18" i="2"/>
  <c r="D17" i="2"/>
  <c r="C17" i="2"/>
  <c r="G17" i="2" s="1"/>
  <c r="F17" i="5" s="1"/>
  <c r="O17" i="2"/>
  <c r="E16" i="2"/>
  <c r="S10" i="2"/>
  <c r="L11" i="2" s="1"/>
  <c r="P11" i="2" s="1"/>
  <c r="I18" i="2"/>
  <c r="F16" i="2" l="1"/>
  <c r="H16" i="2" s="1"/>
  <c r="J16" i="2" s="1"/>
  <c r="N16" i="2" s="1"/>
  <c r="C16" i="5"/>
  <c r="D16" i="5" s="1"/>
  <c r="E16" i="5" s="1"/>
  <c r="H16" i="5" s="1"/>
  <c r="E17" i="2"/>
  <c r="D18" i="2"/>
  <c r="B18" i="5"/>
  <c r="G18" i="5" s="1"/>
  <c r="C18" i="2"/>
  <c r="G18" i="2" s="1"/>
  <c r="F18" i="5" s="1"/>
  <c r="B19" i="2"/>
  <c r="O18" i="2"/>
  <c r="M11" i="2"/>
  <c r="R11" i="2" s="1"/>
  <c r="Q11" i="2"/>
  <c r="I19" i="2"/>
  <c r="D19" i="2" l="1"/>
  <c r="O19" i="2"/>
  <c r="B19" i="5"/>
  <c r="G19" i="5" s="1"/>
  <c r="B20" i="2"/>
  <c r="C19" i="2"/>
  <c r="G19" i="2" s="1"/>
  <c r="F19" i="5" s="1"/>
  <c r="E18" i="2"/>
  <c r="F17" i="2"/>
  <c r="H17" i="2" s="1"/>
  <c r="J17" i="2" s="1"/>
  <c r="N17" i="2" s="1"/>
  <c r="C17" i="5"/>
  <c r="D17" i="5" s="1"/>
  <c r="E17" i="5" s="1"/>
  <c r="H17" i="5" s="1"/>
  <c r="S11" i="2"/>
  <c r="L12" i="2" s="1"/>
  <c r="M12" i="2" s="1"/>
  <c r="R12" i="2" s="1"/>
  <c r="Q12" i="2"/>
  <c r="I21" i="2"/>
  <c r="I20" i="2"/>
  <c r="C20" i="2" l="1"/>
  <c r="G20" i="2" s="1"/>
  <c r="F20" i="5" s="1"/>
  <c r="O20" i="2"/>
  <c r="B20" i="5"/>
  <c r="G20" i="5" s="1"/>
  <c r="B21" i="2"/>
  <c r="D20" i="2"/>
  <c r="C18" i="5"/>
  <c r="D18" i="5" s="1"/>
  <c r="E18" i="5" s="1"/>
  <c r="H18" i="5" s="1"/>
  <c r="F18" i="2"/>
  <c r="H18" i="2" s="1"/>
  <c r="J18" i="2" s="1"/>
  <c r="N18" i="2" s="1"/>
  <c r="E19" i="2"/>
  <c r="P12" i="2"/>
  <c r="S12" i="2" s="1"/>
  <c r="L13" i="2" s="1"/>
  <c r="Q13" i="2" s="1"/>
  <c r="E20" i="2" l="1"/>
  <c r="F20" i="2" s="1"/>
  <c r="H20" i="2" s="1"/>
  <c r="J20" i="2" s="1"/>
  <c r="N20" i="2" s="1"/>
  <c r="C19" i="5"/>
  <c r="D19" i="5" s="1"/>
  <c r="E19" i="5" s="1"/>
  <c r="H19" i="5" s="1"/>
  <c r="F19" i="2"/>
  <c r="H19" i="2" s="1"/>
  <c r="J19" i="2" s="1"/>
  <c r="N19" i="2" s="1"/>
  <c r="D21" i="2"/>
  <c r="B21" i="5"/>
  <c r="G21" i="5" s="1"/>
  <c r="C21" i="2"/>
  <c r="G21" i="2" s="1"/>
  <c r="F21" i="5" s="1"/>
  <c r="B22" i="2"/>
  <c r="O21" i="2"/>
  <c r="M13" i="2"/>
  <c r="R13" i="2" s="1"/>
  <c r="P13" i="2"/>
  <c r="I22" i="2"/>
  <c r="C20" i="5" l="1"/>
  <c r="D20" i="5" s="1"/>
  <c r="E20" i="5" s="1"/>
  <c r="H20" i="5" s="1"/>
  <c r="B22" i="5"/>
  <c r="G22" i="5" s="1"/>
  <c r="O22" i="2"/>
  <c r="D22" i="2"/>
  <c r="B23" i="2"/>
  <c r="C22" i="2"/>
  <c r="G22" i="2" s="1"/>
  <c r="F22" i="5" s="1"/>
  <c r="E21" i="2"/>
  <c r="S13" i="2"/>
  <c r="L14" i="2" s="1"/>
  <c r="M14" i="2" s="1"/>
  <c r="Q14" i="2"/>
  <c r="I24" i="2"/>
  <c r="I23" i="2"/>
  <c r="E22" i="2" l="1"/>
  <c r="B23" i="5"/>
  <c r="G23" i="5" s="1"/>
  <c r="B24" i="2"/>
  <c r="D23" i="2"/>
  <c r="C23" i="2"/>
  <c r="G23" i="2" s="1"/>
  <c r="F23" i="5" s="1"/>
  <c r="O23" i="2"/>
  <c r="C21" i="5"/>
  <c r="D21" i="5" s="1"/>
  <c r="E21" i="5" s="1"/>
  <c r="H21" i="5" s="1"/>
  <c r="F21" i="2"/>
  <c r="H21" i="2" s="1"/>
  <c r="J21" i="2" s="1"/>
  <c r="N21" i="2" s="1"/>
  <c r="P14" i="2"/>
  <c r="R14" i="2"/>
  <c r="I25" i="2"/>
  <c r="E23" i="2" l="1"/>
  <c r="C24" i="2"/>
  <c r="G24" i="2" s="1"/>
  <c r="F24" i="5" s="1"/>
  <c r="D24" i="2"/>
  <c r="O24" i="2"/>
  <c r="B25" i="2"/>
  <c r="B24" i="5"/>
  <c r="G24" i="5" s="1"/>
  <c r="C22" i="5"/>
  <c r="D22" i="5" s="1"/>
  <c r="E22" i="5" s="1"/>
  <c r="H22" i="5" s="1"/>
  <c r="F22" i="2"/>
  <c r="H22" i="2" s="1"/>
  <c r="J22" i="2" s="1"/>
  <c r="N22" i="2" s="1"/>
  <c r="S14" i="2"/>
  <c r="L15" i="2" s="1"/>
  <c r="P15" i="2" s="1"/>
  <c r="Q15" i="2"/>
  <c r="M15" i="2"/>
  <c r="R15" i="2" s="1"/>
  <c r="E24" i="2" l="1"/>
  <c r="D25" i="2"/>
  <c r="B26" i="2"/>
  <c r="O25" i="2"/>
  <c r="B25" i="5"/>
  <c r="G25" i="5" s="1"/>
  <c r="C25" i="2"/>
  <c r="G25" i="2" s="1"/>
  <c r="F25" i="5" s="1"/>
  <c r="F24" i="2"/>
  <c r="H24" i="2" s="1"/>
  <c r="J24" i="2" s="1"/>
  <c r="N24" i="2" s="1"/>
  <c r="C24" i="5"/>
  <c r="D24" i="5" s="1"/>
  <c r="E24" i="5" s="1"/>
  <c r="H24" i="5" s="1"/>
  <c r="C23" i="5"/>
  <c r="D23" i="5" s="1"/>
  <c r="E23" i="5" s="1"/>
  <c r="H23" i="5" s="1"/>
  <c r="F23" i="2"/>
  <c r="H23" i="2" s="1"/>
  <c r="J23" i="2" s="1"/>
  <c r="N23" i="2" s="1"/>
  <c r="S15" i="2"/>
  <c r="L16" i="2" s="1"/>
  <c r="M16" i="2" s="1"/>
  <c r="R16" i="2" s="1"/>
  <c r="I26" i="2"/>
  <c r="B27" i="2" l="1"/>
  <c r="D26" i="2"/>
  <c r="B26" i="5"/>
  <c r="G26" i="5" s="1"/>
  <c r="C26" i="2"/>
  <c r="G26" i="2" s="1"/>
  <c r="F26" i="5" s="1"/>
  <c r="O26" i="2"/>
  <c r="E25" i="2"/>
  <c r="P16" i="2"/>
  <c r="Q16" i="2"/>
  <c r="I28" i="2"/>
  <c r="I27" i="2"/>
  <c r="C25" i="5" l="1"/>
  <c r="D25" i="5" s="1"/>
  <c r="E25" i="5" s="1"/>
  <c r="H25" i="5" s="1"/>
  <c r="F25" i="2"/>
  <c r="H25" i="2" s="1"/>
  <c r="J25" i="2" s="1"/>
  <c r="N25" i="2" s="1"/>
  <c r="E26" i="2"/>
  <c r="C27" i="2"/>
  <c r="G27" i="2" s="1"/>
  <c r="F27" i="5" s="1"/>
  <c r="B27" i="5"/>
  <c r="G27" i="5" s="1"/>
  <c r="D27" i="2"/>
  <c r="E27" i="2" s="1"/>
  <c r="B28" i="2"/>
  <c r="O27" i="2"/>
  <c r="S16" i="2"/>
  <c r="L17" i="2" s="1"/>
  <c r="Q17" i="2" s="1"/>
  <c r="I29" i="2"/>
  <c r="C28" i="2" l="1"/>
  <c r="G28" i="2" s="1"/>
  <c r="F28" i="5" s="1"/>
  <c r="B28" i="5"/>
  <c r="G28" i="5" s="1"/>
  <c r="O28" i="2"/>
  <c r="D28" i="2"/>
  <c r="B29" i="2"/>
  <c r="F27" i="2"/>
  <c r="H27" i="2" s="1"/>
  <c r="J27" i="2" s="1"/>
  <c r="N27" i="2" s="1"/>
  <c r="C27" i="5"/>
  <c r="D27" i="5" s="1"/>
  <c r="E27" i="5" s="1"/>
  <c r="H27" i="5" s="1"/>
  <c r="F26" i="2"/>
  <c r="H26" i="2" s="1"/>
  <c r="J26" i="2" s="1"/>
  <c r="N26" i="2" s="1"/>
  <c r="C26" i="5"/>
  <c r="D26" i="5" s="1"/>
  <c r="E26" i="5" s="1"/>
  <c r="H26" i="5" s="1"/>
  <c r="P17" i="2"/>
  <c r="M17" i="2"/>
  <c r="R17" i="2" s="1"/>
  <c r="I30" i="2"/>
  <c r="E28" i="2" l="1"/>
  <c r="F28" i="2" s="1"/>
  <c r="H28" i="2" s="1"/>
  <c r="J28" i="2" s="1"/>
  <c r="N28" i="2" s="1"/>
  <c r="S17" i="2"/>
  <c r="L18" i="2" s="1"/>
  <c r="B29" i="5"/>
  <c r="G29" i="5" s="1"/>
  <c r="D29" i="2"/>
  <c r="B30" i="2"/>
  <c r="O29" i="2"/>
  <c r="C29" i="2"/>
  <c r="G29" i="2" s="1"/>
  <c r="F29" i="5" s="1"/>
  <c r="C28" i="5"/>
  <c r="D28" i="5" s="1"/>
  <c r="E28" i="5" s="1"/>
  <c r="H28" i="5" s="1"/>
  <c r="Q18" i="2"/>
  <c r="M18" i="2"/>
  <c r="P18" i="2"/>
  <c r="B31" i="2" l="1"/>
  <c r="D30" i="2"/>
  <c r="C30" i="2"/>
  <c r="G30" i="2" s="1"/>
  <c r="F30" i="5" s="1"/>
  <c r="O30" i="2"/>
  <c r="B30" i="5"/>
  <c r="G30" i="5" s="1"/>
  <c r="E29" i="2"/>
  <c r="R18" i="2"/>
  <c r="S18" i="2" s="1"/>
  <c r="L19" i="2" s="1"/>
  <c r="I32" i="2"/>
  <c r="I31" i="2"/>
  <c r="C29" i="5" l="1"/>
  <c r="D29" i="5" s="1"/>
  <c r="E29" i="5" s="1"/>
  <c r="H29" i="5" s="1"/>
  <c r="F29" i="2"/>
  <c r="H29" i="2" s="1"/>
  <c r="J29" i="2" s="1"/>
  <c r="N29" i="2" s="1"/>
  <c r="E30" i="2"/>
  <c r="B32" i="2"/>
  <c r="C31" i="2"/>
  <c r="G31" i="2" s="1"/>
  <c r="F31" i="5" s="1"/>
  <c r="B31" i="5"/>
  <c r="G31" i="5" s="1"/>
  <c r="O31" i="2"/>
  <c r="D31" i="2"/>
  <c r="E31" i="2" s="1"/>
  <c r="M19" i="2"/>
  <c r="R19" i="2" s="1"/>
  <c r="P19" i="2"/>
  <c r="Q19" i="2"/>
  <c r="C32" i="2" l="1"/>
  <c r="G32" i="2" s="1"/>
  <c r="F32" i="5" s="1"/>
  <c r="B32" i="5"/>
  <c r="G32" i="5" s="1"/>
  <c r="O32" i="2"/>
  <c r="D32" i="2"/>
  <c r="B33" i="2"/>
  <c r="C31" i="5"/>
  <c r="D31" i="5" s="1"/>
  <c r="E31" i="5" s="1"/>
  <c r="H31" i="5" s="1"/>
  <c r="F31" i="2"/>
  <c r="H31" i="2" s="1"/>
  <c r="J31" i="2" s="1"/>
  <c r="N31" i="2" s="1"/>
  <c r="C30" i="5"/>
  <c r="D30" i="5" s="1"/>
  <c r="E30" i="5" s="1"/>
  <c r="H30" i="5" s="1"/>
  <c r="F30" i="2"/>
  <c r="H30" i="2" s="1"/>
  <c r="J30" i="2" s="1"/>
  <c r="N30" i="2" s="1"/>
  <c r="S19" i="2"/>
  <c r="L20" i="2" s="1"/>
  <c r="I33" i="2"/>
  <c r="E32" i="2" l="1"/>
  <c r="F32" i="2" s="1"/>
  <c r="H32" i="2" s="1"/>
  <c r="J32" i="2" s="1"/>
  <c r="N32" i="2" s="1"/>
  <c r="B34" i="2"/>
  <c r="O33" i="2"/>
  <c r="B33" i="5"/>
  <c r="G33" i="5" s="1"/>
  <c r="C33" i="2"/>
  <c r="G33" i="2" s="1"/>
  <c r="F33" i="5" s="1"/>
  <c r="D33" i="2"/>
  <c r="E33" i="2" s="1"/>
  <c r="P20" i="2"/>
  <c r="Q20" i="2"/>
  <c r="M20" i="2"/>
  <c r="R20" i="2" s="1"/>
  <c r="I35" i="2"/>
  <c r="I34" i="2"/>
  <c r="C32" i="5" l="1"/>
  <c r="D32" i="5" s="1"/>
  <c r="E32" i="5" s="1"/>
  <c r="H32" i="5" s="1"/>
  <c r="C33" i="5"/>
  <c r="D33" i="5" s="1"/>
  <c r="E33" i="5" s="1"/>
  <c r="H33" i="5" s="1"/>
  <c r="F33" i="2"/>
  <c r="H33" i="2" s="1"/>
  <c r="J33" i="2" s="1"/>
  <c r="N33" i="2" s="1"/>
  <c r="C34" i="2"/>
  <c r="G34" i="2" s="1"/>
  <c r="F34" i="5" s="1"/>
  <c r="B34" i="5"/>
  <c r="G34" i="5" s="1"/>
  <c r="D34" i="2"/>
  <c r="E34" i="2" s="1"/>
  <c r="O34" i="2"/>
  <c r="B35" i="2"/>
  <c r="S20" i="2"/>
  <c r="L21" i="2" s="1"/>
  <c r="I36" i="2"/>
  <c r="B36" i="2" l="1"/>
  <c r="O35" i="2"/>
  <c r="D35" i="2"/>
  <c r="C35" i="2"/>
  <c r="G35" i="2" s="1"/>
  <c r="F35" i="5" s="1"/>
  <c r="B35" i="5"/>
  <c r="G35" i="5" s="1"/>
  <c r="F34" i="2"/>
  <c r="H34" i="2" s="1"/>
  <c r="J34" i="2" s="1"/>
  <c r="N34" i="2" s="1"/>
  <c r="C34" i="5"/>
  <c r="D34" i="5" s="1"/>
  <c r="E34" i="5" s="1"/>
  <c r="H34" i="5" s="1"/>
  <c r="Q21" i="2"/>
  <c r="M21" i="2"/>
  <c r="R21" i="2" s="1"/>
  <c r="P21" i="2"/>
  <c r="I37" i="2"/>
  <c r="E35" i="2" l="1"/>
  <c r="O36" i="2"/>
  <c r="C36" i="2"/>
  <c r="G36" i="2" s="1"/>
  <c r="F36" i="5" s="1"/>
  <c r="D36" i="2"/>
  <c r="E36" i="2" s="1"/>
  <c r="B36" i="5"/>
  <c r="G36" i="5" s="1"/>
  <c r="B37" i="2"/>
  <c r="S21" i="2"/>
  <c r="L22" i="2" s="1"/>
  <c r="M22" i="2" s="1"/>
  <c r="R22" i="2" s="1"/>
  <c r="Q22" i="2"/>
  <c r="I38" i="2"/>
  <c r="F36" i="2" l="1"/>
  <c r="H36" i="2" s="1"/>
  <c r="J36" i="2" s="1"/>
  <c r="N36" i="2" s="1"/>
  <c r="C36" i="5"/>
  <c r="D36" i="5" s="1"/>
  <c r="E36" i="5" s="1"/>
  <c r="H36" i="5" s="1"/>
  <c r="B38" i="2"/>
  <c r="B37" i="5"/>
  <c r="G37" i="5" s="1"/>
  <c r="O37" i="2"/>
  <c r="C37" i="2"/>
  <c r="G37" i="2" s="1"/>
  <c r="F37" i="5" s="1"/>
  <c r="D37" i="2"/>
  <c r="F35" i="2"/>
  <c r="H35" i="2" s="1"/>
  <c r="J35" i="2" s="1"/>
  <c r="N35" i="2" s="1"/>
  <c r="C35" i="5"/>
  <c r="D35" i="5" s="1"/>
  <c r="E35" i="5" s="1"/>
  <c r="H35" i="5" s="1"/>
  <c r="P22" i="2"/>
  <c r="S22" i="2" s="1"/>
  <c r="L23" i="2" s="1"/>
  <c r="I39" i="2"/>
  <c r="E37" i="2" l="1"/>
  <c r="C38" i="2"/>
  <c r="G38" i="2" s="1"/>
  <c r="F38" i="5" s="1"/>
  <c r="O38" i="2"/>
  <c r="D38" i="2"/>
  <c r="E38" i="2" s="1"/>
  <c r="B39" i="2"/>
  <c r="B38" i="5"/>
  <c r="G38" i="5" s="1"/>
  <c r="M23" i="2"/>
  <c r="Q23" i="2"/>
  <c r="P23" i="2"/>
  <c r="I40" i="2"/>
  <c r="C39" i="2" l="1"/>
  <c r="G39" i="2" s="1"/>
  <c r="F39" i="5" s="1"/>
  <c r="O39" i="2"/>
  <c r="B39" i="5"/>
  <c r="G39" i="5" s="1"/>
  <c r="B40" i="2"/>
  <c r="D39" i="2"/>
  <c r="F38" i="2"/>
  <c r="H38" i="2" s="1"/>
  <c r="J38" i="2" s="1"/>
  <c r="N38" i="2" s="1"/>
  <c r="C38" i="5"/>
  <c r="D38" i="5" s="1"/>
  <c r="E38" i="5" s="1"/>
  <c r="H38" i="5" s="1"/>
  <c r="F37" i="2"/>
  <c r="H37" i="2" s="1"/>
  <c r="J37" i="2" s="1"/>
  <c r="N37" i="2" s="1"/>
  <c r="C37" i="5"/>
  <c r="D37" i="5" s="1"/>
  <c r="E37" i="5" s="1"/>
  <c r="H37" i="5" s="1"/>
  <c r="R23" i="2"/>
  <c r="S23" i="2" s="1"/>
  <c r="L24" i="2" s="1"/>
  <c r="I41" i="2"/>
  <c r="E39" i="2" l="1"/>
  <c r="F39" i="2" s="1"/>
  <c r="H39" i="2" s="1"/>
  <c r="J39" i="2" s="1"/>
  <c r="N39" i="2" s="1"/>
  <c r="O40" i="2"/>
  <c r="C40" i="2"/>
  <c r="G40" i="2" s="1"/>
  <c r="F40" i="5" s="1"/>
  <c r="B40" i="5"/>
  <c r="G40" i="5" s="1"/>
  <c r="B41" i="2"/>
  <c r="D40" i="2"/>
  <c r="E40" i="2" s="1"/>
  <c r="P24" i="2"/>
  <c r="M24" i="2"/>
  <c r="R24" i="2" s="1"/>
  <c r="Q24" i="2"/>
  <c r="I42" i="2"/>
  <c r="C39" i="5" l="1"/>
  <c r="D39" i="5" s="1"/>
  <c r="E39" i="5" s="1"/>
  <c r="H39" i="5" s="1"/>
  <c r="O41" i="2"/>
  <c r="C41" i="2"/>
  <c r="G41" i="2" s="1"/>
  <c r="F41" i="5" s="1"/>
  <c r="B41" i="5"/>
  <c r="G41" i="5" s="1"/>
  <c r="B42" i="2"/>
  <c r="D41" i="2"/>
  <c r="E41" i="2" s="1"/>
  <c r="F40" i="2"/>
  <c r="H40" i="2" s="1"/>
  <c r="J40" i="2" s="1"/>
  <c r="N40" i="2" s="1"/>
  <c r="C40" i="5"/>
  <c r="D40" i="5" s="1"/>
  <c r="E40" i="5" s="1"/>
  <c r="H40" i="5" s="1"/>
  <c r="S24" i="2"/>
  <c r="L25" i="2" s="1"/>
  <c r="M25" i="2" s="1"/>
  <c r="R25" i="2" s="1"/>
  <c r="Q25" i="2"/>
  <c r="F41" i="2" l="1"/>
  <c r="H41" i="2" s="1"/>
  <c r="J41" i="2" s="1"/>
  <c r="N41" i="2" s="1"/>
  <c r="C41" i="5"/>
  <c r="D41" i="5" s="1"/>
  <c r="E41" i="5" s="1"/>
  <c r="H41" i="5" s="1"/>
  <c r="B43" i="2"/>
  <c r="D42" i="2"/>
  <c r="B42" i="5"/>
  <c r="G42" i="5" s="1"/>
  <c r="O42" i="2"/>
  <c r="C42" i="2"/>
  <c r="G42" i="2" s="1"/>
  <c r="F42" i="5" s="1"/>
  <c r="P25" i="2"/>
  <c r="S25" i="2" s="1"/>
  <c r="L26" i="2" s="1"/>
  <c r="P26" i="2" s="1"/>
  <c r="Q26" i="2"/>
  <c r="I43" i="2"/>
  <c r="I44" i="2"/>
  <c r="E42" i="2" l="1"/>
  <c r="O43" i="2"/>
  <c r="D43" i="2"/>
  <c r="B43" i="5"/>
  <c r="G43" i="5" s="1"/>
  <c r="B44" i="2"/>
  <c r="C43" i="2"/>
  <c r="G43" i="2" s="1"/>
  <c r="F43" i="5" s="1"/>
  <c r="M26" i="2"/>
  <c r="R26" i="2" s="1"/>
  <c r="Q27" i="2"/>
  <c r="E43" i="2" l="1"/>
  <c r="D44" i="2"/>
  <c r="C44" i="2"/>
  <c r="G44" i="2" s="1"/>
  <c r="F44" i="5" s="1"/>
  <c r="O44" i="2"/>
  <c r="B44" i="5"/>
  <c r="G44" i="5" s="1"/>
  <c r="B45" i="2"/>
  <c r="F42" i="2"/>
  <c r="H42" i="2" s="1"/>
  <c r="J42" i="2" s="1"/>
  <c r="N42" i="2" s="1"/>
  <c r="C42" i="5"/>
  <c r="D42" i="5" s="1"/>
  <c r="E42" i="5" s="1"/>
  <c r="H42" i="5" s="1"/>
  <c r="S26" i="2"/>
  <c r="L27" i="2" s="1"/>
  <c r="I45" i="2"/>
  <c r="I46" i="2"/>
  <c r="O45" i="2" l="1"/>
  <c r="D45" i="2"/>
  <c r="B45" i="5"/>
  <c r="G45" i="5" s="1"/>
  <c r="C45" i="2"/>
  <c r="G45" i="2" s="1"/>
  <c r="F45" i="5" s="1"/>
  <c r="B46" i="2"/>
  <c r="E44" i="2"/>
  <c r="F43" i="2"/>
  <c r="H43" i="2" s="1"/>
  <c r="J43" i="2" s="1"/>
  <c r="N43" i="2" s="1"/>
  <c r="C43" i="5"/>
  <c r="D43" i="5" s="1"/>
  <c r="E43" i="5" s="1"/>
  <c r="H43" i="5" s="1"/>
  <c r="M27" i="2"/>
  <c r="P27" i="2"/>
  <c r="Q28" i="2"/>
  <c r="F44" i="2" l="1"/>
  <c r="H44" i="2" s="1"/>
  <c r="J44" i="2" s="1"/>
  <c r="N44" i="2" s="1"/>
  <c r="C44" i="5"/>
  <c r="D44" i="5" s="1"/>
  <c r="E44" i="5" s="1"/>
  <c r="H44" i="5" s="1"/>
  <c r="B46" i="5"/>
  <c r="G46" i="5" s="1"/>
  <c r="O46" i="2"/>
  <c r="C46" i="2"/>
  <c r="G46" i="2" s="1"/>
  <c r="F46" i="5" s="1"/>
  <c r="D46" i="2"/>
  <c r="E46" i="2" s="1"/>
  <c r="B47" i="2"/>
  <c r="E45" i="2"/>
  <c r="R27" i="2"/>
  <c r="S27" i="2"/>
  <c r="L28" i="2" s="1"/>
  <c r="I48" i="2"/>
  <c r="I47" i="2"/>
  <c r="Q29" i="2"/>
  <c r="F45" i="2" l="1"/>
  <c r="H45" i="2" s="1"/>
  <c r="J45" i="2" s="1"/>
  <c r="N45" i="2" s="1"/>
  <c r="C45" i="5"/>
  <c r="D45" i="5" s="1"/>
  <c r="E45" i="5" s="1"/>
  <c r="H45" i="5" s="1"/>
  <c r="O47" i="2"/>
  <c r="B48" i="2"/>
  <c r="B47" i="5"/>
  <c r="G47" i="5" s="1"/>
  <c r="C47" i="2"/>
  <c r="G47" i="2" s="1"/>
  <c r="F47" i="5" s="1"/>
  <c r="D47" i="2"/>
  <c r="F46" i="2"/>
  <c r="H46" i="2" s="1"/>
  <c r="J46" i="2" s="1"/>
  <c r="N46" i="2" s="1"/>
  <c r="C46" i="5"/>
  <c r="D46" i="5" s="1"/>
  <c r="E46" i="5" s="1"/>
  <c r="H46" i="5" s="1"/>
  <c r="P28" i="2"/>
  <c r="M28" i="2"/>
  <c r="E47" i="2" l="1"/>
  <c r="B49" i="2"/>
  <c r="D48" i="2"/>
  <c r="O48" i="2"/>
  <c r="B48" i="5"/>
  <c r="C48" i="2"/>
  <c r="G48" i="2" s="1"/>
  <c r="F48" i="5" s="1"/>
  <c r="C47" i="5"/>
  <c r="D47" i="5" s="1"/>
  <c r="E47" i="5" s="1"/>
  <c r="H47" i="5" s="1"/>
  <c r="F47" i="2"/>
  <c r="H47" i="2" s="1"/>
  <c r="J47" i="2" s="1"/>
  <c r="N47" i="2" s="1"/>
  <c r="R28" i="2"/>
  <c r="S28" i="2" s="1"/>
  <c r="L29" i="2" s="1"/>
  <c r="Q30" i="2"/>
  <c r="E48" i="2" l="1"/>
  <c r="B49" i="5"/>
  <c r="B50" i="2"/>
  <c r="O49" i="2"/>
  <c r="D49" i="2"/>
  <c r="E49" i="2" s="1"/>
  <c r="C49" i="2"/>
  <c r="G49" i="2" s="1"/>
  <c r="F49" i="5" s="1"/>
  <c r="P29" i="2"/>
  <c r="M29" i="2"/>
  <c r="R29" i="2" s="1"/>
  <c r="Q31" i="2"/>
  <c r="F49" i="2" l="1"/>
  <c r="C49" i="5"/>
  <c r="B50" i="5"/>
  <c r="D50" i="2"/>
  <c r="O50" i="2"/>
  <c r="C50" i="2"/>
  <c r="G50" i="2" s="1"/>
  <c r="F50" i="5" s="1"/>
  <c r="B51" i="2"/>
  <c r="F48" i="2"/>
  <c r="H48" i="2" s="1"/>
  <c r="J48" i="2" s="1"/>
  <c r="N48" i="2" s="1"/>
  <c r="C48" i="5"/>
  <c r="D48" i="5" s="1"/>
  <c r="E48" i="5" s="1"/>
  <c r="S29" i="2"/>
  <c r="L30" i="2" s="1"/>
  <c r="M30" i="2"/>
  <c r="R30" i="2" s="1"/>
  <c r="P30" i="2"/>
  <c r="S30" i="2" s="1"/>
  <c r="L31" i="2" s="1"/>
  <c r="Q32" i="2"/>
  <c r="B51" i="5" l="1"/>
  <c r="O51" i="2"/>
  <c r="D51" i="2"/>
  <c r="E51" i="2" s="1"/>
  <c r="B52" i="2"/>
  <c r="C51" i="2"/>
  <c r="G51" i="2" s="1"/>
  <c r="F51" i="5" s="1"/>
  <c r="E50" i="2"/>
  <c r="D49" i="5"/>
  <c r="E49" i="5"/>
  <c r="H49" i="2"/>
  <c r="I49" i="2" s="1"/>
  <c r="P31" i="2"/>
  <c r="M31" i="2"/>
  <c r="R31" i="2" s="1"/>
  <c r="F50" i="2" l="1"/>
  <c r="H50" i="2" s="1"/>
  <c r="I50" i="2" s="1"/>
  <c r="J50" i="2" s="1"/>
  <c r="N50" i="2" s="1"/>
  <c r="C50" i="5"/>
  <c r="D52" i="2"/>
  <c r="E52" i="2" s="1"/>
  <c r="C52" i="2"/>
  <c r="G52" i="2" s="1"/>
  <c r="F52" i="5" s="1"/>
  <c r="O52" i="2"/>
  <c r="B52" i="5"/>
  <c r="B53" i="2"/>
  <c r="C51" i="5"/>
  <c r="F51" i="2"/>
  <c r="J49" i="2"/>
  <c r="N49" i="2" s="1"/>
  <c r="S31" i="2"/>
  <c r="L32" i="2" s="1"/>
  <c r="Q33" i="2"/>
  <c r="D51" i="5" l="1"/>
  <c r="E51" i="5"/>
  <c r="C52" i="5"/>
  <c r="F52" i="2"/>
  <c r="H52" i="2" s="1"/>
  <c r="I52" i="2" s="1"/>
  <c r="D50" i="5"/>
  <c r="E50" i="5"/>
  <c r="B54" i="2"/>
  <c r="B53" i="5"/>
  <c r="D53" i="2"/>
  <c r="E53" i="2" s="1"/>
  <c r="C53" i="2"/>
  <c r="G53" i="2" s="1"/>
  <c r="F53" i="5" s="1"/>
  <c r="O53" i="2"/>
  <c r="H51" i="2"/>
  <c r="I51" i="2" s="1"/>
  <c r="P32" i="2"/>
  <c r="M32" i="2"/>
  <c r="R32" i="2" s="1"/>
  <c r="S32" i="2" s="1"/>
  <c r="L33" i="2" s="1"/>
  <c r="J52" i="2"/>
  <c r="N52" i="2" s="1"/>
  <c r="O54" i="2" l="1"/>
  <c r="C54" i="2"/>
  <c r="G54" i="2" s="1"/>
  <c r="F54" i="5" s="1"/>
  <c r="B55" i="2"/>
  <c r="B54" i="5"/>
  <c r="D54" i="2"/>
  <c r="E54" i="2" s="1"/>
  <c r="J51" i="2"/>
  <c r="N51" i="2" s="1"/>
  <c r="E52" i="5"/>
  <c r="D52" i="5"/>
  <c r="C53" i="5"/>
  <c r="F53" i="2"/>
  <c r="P33" i="2"/>
  <c r="M33" i="2"/>
  <c r="R33" i="2" s="1"/>
  <c r="S33" i="2" s="1"/>
  <c r="L34" i="2" s="1"/>
  <c r="Q34" i="2"/>
  <c r="F54" i="2" l="1"/>
  <c r="H54" i="2" s="1"/>
  <c r="I54" i="2" s="1"/>
  <c r="J54" i="2" s="1"/>
  <c r="N54" i="2" s="1"/>
  <c r="C54" i="5"/>
  <c r="O55" i="2"/>
  <c r="C55" i="2"/>
  <c r="G55" i="2" s="1"/>
  <c r="F55" i="5" s="1"/>
  <c r="B56" i="2"/>
  <c r="D55" i="2"/>
  <c r="E55" i="2" s="1"/>
  <c r="B55" i="5"/>
  <c r="H53" i="2"/>
  <c r="I53" i="2" s="1"/>
  <c r="E53" i="5"/>
  <c r="D53" i="5"/>
  <c r="P34" i="2"/>
  <c r="M34" i="2"/>
  <c r="R34" i="2" s="1"/>
  <c r="F55" i="2" l="1"/>
  <c r="C55" i="5"/>
  <c r="C56" i="2"/>
  <c r="G56" i="2" s="1"/>
  <c r="F56" i="5" s="1"/>
  <c r="B57" i="2"/>
  <c r="O56" i="2"/>
  <c r="D56" i="2"/>
  <c r="E56" i="2" s="1"/>
  <c r="B56" i="5"/>
  <c r="S34" i="2"/>
  <c r="L35" i="2" s="1"/>
  <c r="Q35" i="2" s="1"/>
  <c r="D54" i="5"/>
  <c r="E54" i="5"/>
  <c r="J53" i="2"/>
  <c r="N53" i="2" s="1"/>
  <c r="P35" i="2" l="1"/>
  <c r="M35" i="2"/>
  <c r="R35" i="2" s="1"/>
  <c r="B57" i="5"/>
  <c r="O57" i="2"/>
  <c r="B58" i="2"/>
  <c r="C57" i="2"/>
  <c r="G57" i="2" s="1"/>
  <c r="F57" i="5" s="1"/>
  <c r="D57" i="2"/>
  <c r="E57" i="2" s="1"/>
  <c r="F56" i="2"/>
  <c r="C56" i="5"/>
  <c r="D55" i="5"/>
  <c r="E55" i="5"/>
  <c r="H55" i="2"/>
  <c r="I55" i="2" s="1"/>
  <c r="S35" i="2"/>
  <c r="L36" i="2" s="1"/>
  <c r="P36" i="2" s="1"/>
  <c r="Q36" i="2"/>
  <c r="H56" i="2" l="1"/>
  <c r="I56" i="2" s="1"/>
  <c r="F57" i="2"/>
  <c r="H57" i="2" s="1"/>
  <c r="I57" i="2" s="1"/>
  <c r="J57" i="2" s="1"/>
  <c r="N57" i="2" s="1"/>
  <c r="C57" i="5"/>
  <c r="J55" i="2"/>
  <c r="N55" i="2" s="1"/>
  <c r="B58" i="5"/>
  <c r="D58" i="2"/>
  <c r="E58" i="2" s="1"/>
  <c r="C58" i="2"/>
  <c r="G58" i="2" s="1"/>
  <c r="F58" i="5" s="1"/>
  <c r="O58" i="2"/>
  <c r="B59" i="2"/>
  <c r="M36" i="2"/>
  <c r="R36" i="2" s="1"/>
  <c r="E56" i="5"/>
  <c r="D56" i="5"/>
  <c r="F58" i="2" l="1"/>
  <c r="C58" i="5"/>
  <c r="E57" i="5"/>
  <c r="D57" i="5"/>
  <c r="S36" i="2"/>
  <c r="L37" i="2" s="1"/>
  <c r="M37" i="2" s="1"/>
  <c r="R37" i="2" s="1"/>
  <c r="B60" i="2"/>
  <c r="C59" i="2"/>
  <c r="G59" i="2" s="1"/>
  <c r="F59" i="5" s="1"/>
  <c r="B59" i="5"/>
  <c r="D59" i="2"/>
  <c r="O59" i="2"/>
  <c r="J56" i="2"/>
  <c r="N56" i="2" s="1"/>
  <c r="Q37" i="2"/>
  <c r="B60" i="5" l="1"/>
  <c r="O60" i="2"/>
  <c r="B61" i="2"/>
  <c r="D60" i="2"/>
  <c r="E60" i="2" s="1"/>
  <c r="C60" i="2"/>
  <c r="G60" i="2" s="1"/>
  <c r="F60" i="5" s="1"/>
  <c r="P37" i="2"/>
  <c r="S37" i="2" s="1"/>
  <c r="L38" i="2" s="1"/>
  <c r="E58" i="5"/>
  <c r="D58" i="5"/>
  <c r="E59" i="2"/>
  <c r="H58" i="2"/>
  <c r="I58" i="2" s="1"/>
  <c r="J58" i="2" s="1"/>
  <c r="N58" i="2" s="1"/>
  <c r="F60" i="2" l="1"/>
  <c r="C60" i="5"/>
  <c r="C61" i="2"/>
  <c r="G61" i="2" s="1"/>
  <c r="F61" i="5" s="1"/>
  <c r="O61" i="2"/>
  <c r="B61" i="5"/>
  <c r="B62" i="2"/>
  <c r="D61" i="2"/>
  <c r="E61" i="2" s="1"/>
  <c r="F59" i="2"/>
  <c r="C59" i="5"/>
  <c r="Q38" i="2"/>
  <c r="M38" i="2"/>
  <c r="R38" i="2" s="1"/>
  <c r="P38" i="2"/>
  <c r="H59" i="2" l="1"/>
  <c r="I59" i="2" s="1"/>
  <c r="E60" i="5"/>
  <c r="D60" i="5"/>
  <c r="C61" i="5"/>
  <c r="F61" i="2"/>
  <c r="D62" i="2"/>
  <c r="E62" i="2" s="1"/>
  <c r="O62" i="2"/>
  <c r="B63" i="2"/>
  <c r="B62" i="5"/>
  <c r="C62" i="2"/>
  <c r="G62" i="2" s="1"/>
  <c r="F62" i="5" s="1"/>
  <c r="E59" i="5"/>
  <c r="D59" i="5"/>
  <c r="H60" i="2"/>
  <c r="I60" i="2" s="1"/>
  <c r="S38" i="2"/>
  <c r="L39" i="2" s="1"/>
  <c r="C62" i="5" l="1"/>
  <c r="F62" i="2"/>
  <c r="H62" i="2" s="1"/>
  <c r="I62" i="2" s="1"/>
  <c r="J62" i="2" s="1"/>
  <c r="N62" i="2" s="1"/>
  <c r="H61" i="2"/>
  <c r="I61" i="2" s="1"/>
  <c r="J61" i="2" s="1"/>
  <c r="N61" i="2" s="1"/>
  <c r="D61" i="5"/>
  <c r="E61" i="5"/>
  <c r="J60" i="2"/>
  <c r="N60" i="2" s="1"/>
  <c r="J59" i="2"/>
  <c r="N59" i="2" s="1"/>
  <c r="B63" i="5"/>
  <c r="D63" i="2"/>
  <c r="C63" i="2"/>
  <c r="G63" i="2" s="1"/>
  <c r="F63" i="5" s="1"/>
  <c r="B64" i="2"/>
  <c r="O63" i="2"/>
  <c r="P39" i="2"/>
  <c r="M39" i="2"/>
  <c r="R39" i="2" s="1"/>
  <c r="Q39" i="2"/>
  <c r="E63" i="2" l="1"/>
  <c r="C64" i="2"/>
  <c r="G64" i="2" s="1"/>
  <c r="F64" i="5" s="1"/>
  <c r="O64" i="2"/>
  <c r="B65" i="2"/>
  <c r="B64" i="5"/>
  <c r="D64" i="2"/>
  <c r="E64" i="2" s="1"/>
  <c r="F63" i="2"/>
  <c r="H63" i="2" s="1"/>
  <c r="I63" i="2" s="1"/>
  <c r="J63" i="2" s="1"/>
  <c r="N63" i="2" s="1"/>
  <c r="C63" i="5"/>
  <c r="E62" i="5"/>
  <c r="D62" i="5"/>
  <c r="S39" i="2"/>
  <c r="L40" i="2" s="1"/>
  <c r="D63" i="5" l="1"/>
  <c r="E63" i="5"/>
  <c r="F64" i="2"/>
  <c r="H64" i="2" s="1"/>
  <c r="I64" i="2" s="1"/>
  <c r="C64" i="5"/>
  <c r="B65" i="5"/>
  <c r="C65" i="2"/>
  <c r="G65" i="2" s="1"/>
  <c r="F65" i="5" s="1"/>
  <c r="B66" i="2"/>
  <c r="O65" i="2"/>
  <c r="D65" i="2"/>
  <c r="E65" i="2" s="1"/>
  <c r="Q40" i="2"/>
  <c r="M40" i="2"/>
  <c r="R40" i="2" s="1"/>
  <c r="P40" i="2"/>
  <c r="B66" i="5" l="1"/>
  <c r="C66" i="2"/>
  <c r="G66" i="2" s="1"/>
  <c r="F66" i="5" s="1"/>
  <c r="D66" i="2"/>
  <c r="E66" i="2" s="1"/>
  <c r="O66" i="2"/>
  <c r="B67" i="2"/>
  <c r="J64" i="2"/>
  <c r="N64" i="2" s="1"/>
  <c r="E64" i="5"/>
  <c r="D64" i="5"/>
  <c r="C65" i="5"/>
  <c r="F65" i="2"/>
  <c r="S40" i="2"/>
  <c r="L41" i="2" s="1"/>
  <c r="D67" i="2" l="1"/>
  <c r="E67" i="2" s="1"/>
  <c r="C67" i="2"/>
  <c r="G67" i="2" s="1"/>
  <c r="F67" i="5" s="1"/>
  <c r="B68" i="2"/>
  <c r="B67" i="5"/>
  <c r="O67" i="2"/>
  <c r="F66" i="2"/>
  <c r="C66" i="5"/>
  <c r="H65" i="2"/>
  <c r="I65" i="2" s="1"/>
  <c r="D65" i="5"/>
  <c r="E65" i="5"/>
  <c r="Q41" i="2"/>
  <c r="M41" i="2"/>
  <c r="R41" i="2" s="1"/>
  <c r="P41" i="2"/>
  <c r="D66" i="5" l="1"/>
  <c r="E66" i="5"/>
  <c r="H66" i="2"/>
  <c r="I66" i="2" s="1"/>
  <c r="B68" i="5"/>
  <c r="B69" i="2"/>
  <c r="O68" i="2"/>
  <c r="C68" i="2"/>
  <c r="G68" i="2" s="1"/>
  <c r="F68" i="5" s="1"/>
  <c r="D68" i="2"/>
  <c r="E68" i="2" s="1"/>
  <c r="J65" i="2"/>
  <c r="N65" i="2" s="1"/>
  <c r="F67" i="2"/>
  <c r="H67" i="2" s="1"/>
  <c r="I67" i="2" s="1"/>
  <c r="C67" i="5"/>
  <c r="S41" i="2"/>
  <c r="L42" i="2" s="1"/>
  <c r="C69" i="2" l="1"/>
  <c r="G69" i="2" s="1"/>
  <c r="O69" i="2"/>
  <c r="D69" i="2"/>
  <c r="E69" i="2" s="1"/>
  <c r="F69" i="2" s="1"/>
  <c r="H69" i="2" s="1"/>
  <c r="I69" i="2" s="1"/>
  <c r="B69" i="5"/>
  <c r="B70" i="2"/>
  <c r="J67" i="2"/>
  <c r="N67" i="2" s="1"/>
  <c r="D67" i="5"/>
  <c r="E67" i="5"/>
  <c r="J66" i="2"/>
  <c r="N66" i="2" s="1"/>
  <c r="C68" i="5"/>
  <c r="F68" i="2"/>
  <c r="P42" i="2"/>
  <c r="Q42" i="2"/>
  <c r="M42" i="2"/>
  <c r="R42" i="2" s="1"/>
  <c r="O70" i="2" l="1"/>
  <c r="B71" i="2"/>
  <c r="B70" i="5"/>
  <c r="C70" i="2"/>
  <c r="G70" i="2" s="1"/>
  <c r="D70" i="2"/>
  <c r="E70" i="2" s="1"/>
  <c r="F70" i="2" s="1"/>
  <c r="H70" i="2" s="1"/>
  <c r="I70" i="2" s="1"/>
  <c r="H68" i="2"/>
  <c r="I68" i="2" s="1"/>
  <c r="D68" i="5"/>
  <c r="E68" i="5"/>
  <c r="J69" i="2"/>
  <c r="N69" i="2" s="1"/>
  <c r="S42" i="2"/>
  <c r="L43" i="2" s="1"/>
  <c r="J68" i="2" l="1"/>
  <c r="N68" i="2" s="1"/>
  <c r="J70" i="2"/>
  <c r="N70" i="2" s="1"/>
  <c r="C71" i="2"/>
  <c r="G71" i="2" s="1"/>
  <c r="D71" i="2"/>
  <c r="E71" i="2" s="1"/>
  <c r="F71" i="2" s="1"/>
  <c r="H71" i="2" s="1"/>
  <c r="I71" i="2" s="1"/>
  <c r="O71" i="2"/>
  <c r="B71" i="5"/>
  <c r="B72" i="2"/>
  <c r="P43" i="2"/>
  <c r="M43" i="2"/>
  <c r="R43" i="2" s="1"/>
  <c r="Q43" i="2"/>
  <c r="D72" i="2" l="1"/>
  <c r="B72" i="5"/>
  <c r="O72" i="2"/>
  <c r="C72" i="2"/>
  <c r="G72" i="2" s="1"/>
  <c r="B73" i="2"/>
  <c r="J71" i="2"/>
  <c r="N71" i="2" s="1"/>
  <c r="S43" i="2"/>
  <c r="L44" i="2" s="1"/>
  <c r="C73" i="2" l="1"/>
  <c r="G73" i="2" s="1"/>
  <c r="B74" i="2"/>
  <c r="O73" i="2"/>
  <c r="B73" i="5"/>
  <c r="D73" i="2"/>
  <c r="E73" i="2" s="1"/>
  <c r="F73" i="2" s="1"/>
  <c r="E72" i="2"/>
  <c r="F72" i="2" s="1"/>
  <c r="M44" i="2"/>
  <c r="R44" i="2" s="1"/>
  <c r="Q44" i="2"/>
  <c r="P44" i="2"/>
  <c r="H72" i="2" l="1"/>
  <c r="I72" i="2" s="1"/>
  <c r="H73" i="2"/>
  <c r="I73" i="2" s="1"/>
  <c r="B75" i="2"/>
  <c r="B74" i="5"/>
  <c r="C74" i="2"/>
  <c r="G74" i="2" s="1"/>
  <c r="O74" i="2"/>
  <c r="D74" i="2"/>
  <c r="S44" i="2"/>
  <c r="L45" i="2" s="1"/>
  <c r="M45" i="2" s="1"/>
  <c r="R45" i="2" s="1"/>
  <c r="C75" i="2" l="1"/>
  <c r="G75" i="2" s="1"/>
  <c r="B76" i="2"/>
  <c r="B75" i="5"/>
  <c r="D75" i="2"/>
  <c r="E75" i="2" s="1"/>
  <c r="F75" i="2" s="1"/>
  <c r="H75" i="2" s="1"/>
  <c r="I75" i="2" s="1"/>
  <c r="J75" i="2" s="1"/>
  <c r="N75" i="2" s="1"/>
  <c r="O75" i="2"/>
  <c r="J73" i="2"/>
  <c r="N73" i="2" s="1"/>
  <c r="J72" i="2"/>
  <c r="N72" i="2" s="1"/>
  <c r="E74" i="2"/>
  <c r="F74" i="2" s="1"/>
  <c r="H74" i="2" s="1"/>
  <c r="I74" i="2" s="1"/>
  <c r="Q45" i="2"/>
  <c r="P45" i="2"/>
  <c r="J74" i="2" l="1"/>
  <c r="N74" i="2" s="1"/>
  <c r="B76" i="5"/>
  <c r="B77" i="2"/>
  <c r="O76" i="2"/>
  <c r="D76" i="2"/>
  <c r="E76" i="2" s="1"/>
  <c r="F76" i="2" s="1"/>
  <c r="C76" i="2"/>
  <c r="G76" i="2" s="1"/>
  <c r="S45" i="2"/>
  <c r="L46" i="2" s="1"/>
  <c r="M46" i="2" s="1"/>
  <c r="R46" i="2" s="1"/>
  <c r="Q46" i="2"/>
  <c r="H76" i="2" l="1"/>
  <c r="I76" i="2" s="1"/>
  <c r="O77" i="2"/>
  <c r="D77" i="2"/>
  <c r="E77" i="2" s="1"/>
  <c r="F77" i="2" s="1"/>
  <c r="H77" i="2" s="1"/>
  <c r="I77" i="2" s="1"/>
  <c r="C77" i="2"/>
  <c r="G77" i="2" s="1"/>
  <c r="B78" i="2"/>
  <c r="B77" i="5"/>
  <c r="P46" i="2"/>
  <c r="S46" i="2" s="1"/>
  <c r="L47" i="2" s="1"/>
  <c r="Q47" i="2"/>
  <c r="P47" i="2" l="1"/>
  <c r="M47" i="2"/>
  <c r="R47" i="2" s="1"/>
  <c r="D78" i="2"/>
  <c r="B78" i="5"/>
  <c r="B79" i="2"/>
  <c r="O78" i="2"/>
  <c r="C78" i="2"/>
  <c r="G78" i="2" s="1"/>
  <c r="J76" i="2"/>
  <c r="N76" i="2" s="1"/>
  <c r="J77" i="2"/>
  <c r="N77" i="2" s="1"/>
  <c r="S47" i="2"/>
  <c r="L48" i="2" s="1"/>
  <c r="E78" i="2" l="1"/>
  <c r="F78" i="2" s="1"/>
  <c r="H78" i="2" s="1"/>
  <c r="I78" i="2" s="1"/>
  <c r="J78" i="2" s="1"/>
  <c r="N78" i="2" s="1"/>
  <c r="B80" i="2"/>
  <c r="C79" i="2"/>
  <c r="G79" i="2" s="1"/>
  <c r="O79" i="2"/>
  <c r="B79" i="5"/>
  <c r="D79" i="2"/>
  <c r="E79" i="2" s="1"/>
  <c r="F79" i="2" s="1"/>
  <c r="H79" i="2" s="1"/>
  <c r="I79" i="2" s="1"/>
  <c r="M48" i="2"/>
  <c r="R48" i="2" s="1"/>
  <c r="Q48" i="2"/>
  <c r="P48" i="2"/>
  <c r="J79" i="2" l="1"/>
  <c r="N79" i="2" s="1"/>
  <c r="D80" i="2"/>
  <c r="B80" i="5"/>
  <c r="O80" i="2"/>
  <c r="B81" i="2"/>
  <c r="C80" i="2"/>
  <c r="G80" i="2" s="1"/>
  <c r="S48" i="2"/>
  <c r="L49" i="2" s="1"/>
  <c r="C81" i="2" l="1"/>
  <c r="G81" i="2" s="1"/>
  <c r="B81" i="5"/>
  <c r="O81" i="2"/>
  <c r="B82" i="2"/>
  <c r="D81" i="2"/>
  <c r="E81" i="2" s="1"/>
  <c r="F81" i="2" s="1"/>
  <c r="H81" i="2" s="1"/>
  <c r="I81" i="2" s="1"/>
  <c r="E80" i="2"/>
  <c r="F80" i="2" s="1"/>
  <c r="C33" i="1"/>
  <c r="C35" i="1" s="1"/>
  <c r="Q49" i="2"/>
  <c r="M49" i="2"/>
  <c r="R49" i="2" s="1"/>
  <c r="P49" i="2"/>
  <c r="G60" i="5" l="1"/>
  <c r="H60" i="5" s="1"/>
  <c r="G48" i="5"/>
  <c r="H48" i="5" s="1"/>
  <c r="G68" i="5"/>
  <c r="H68" i="5" s="1"/>
  <c r="C40" i="1"/>
  <c r="C38" i="1"/>
  <c r="G64" i="5"/>
  <c r="H64" i="5" s="1"/>
  <c r="J81" i="2"/>
  <c r="N81" i="2" s="1"/>
  <c r="G67" i="5"/>
  <c r="H67" i="5" s="1"/>
  <c r="H80" i="2"/>
  <c r="I80" i="2" s="1"/>
  <c r="G61" i="5"/>
  <c r="H61" i="5" s="1"/>
  <c r="G65" i="5"/>
  <c r="H65" i="5" s="1"/>
  <c r="G52" i="5"/>
  <c r="H52" i="5" s="1"/>
  <c r="G51" i="5"/>
  <c r="H51" i="5" s="1"/>
  <c r="G50" i="5"/>
  <c r="H50" i="5" s="1"/>
  <c r="C82" i="2"/>
  <c r="G82" i="2" s="1"/>
  <c r="B82" i="5"/>
  <c r="B83" i="2"/>
  <c r="D82" i="2"/>
  <c r="O82" i="2"/>
  <c r="G54" i="5"/>
  <c r="H54" i="5" s="1"/>
  <c r="G53" i="5"/>
  <c r="H53" i="5" s="1"/>
  <c r="G56" i="5"/>
  <c r="H56" i="5" s="1"/>
  <c r="G57" i="5"/>
  <c r="H57" i="5" s="1"/>
  <c r="G63" i="5"/>
  <c r="H63" i="5" s="1"/>
  <c r="G66" i="5"/>
  <c r="H66" i="5" s="1"/>
  <c r="G55" i="5"/>
  <c r="H55" i="5" s="1"/>
  <c r="G49" i="5"/>
  <c r="H49" i="5" s="1"/>
  <c r="G58" i="5"/>
  <c r="H58" i="5" s="1"/>
  <c r="C39" i="1"/>
  <c r="G62" i="5"/>
  <c r="H62" i="5" s="1"/>
  <c r="G59" i="5"/>
  <c r="H59" i="5" s="1"/>
  <c r="S49" i="2"/>
  <c r="L50" i="2" s="1"/>
  <c r="B84" i="2" l="1"/>
  <c r="D83" i="2"/>
  <c r="O83" i="2"/>
  <c r="C83" i="2"/>
  <c r="G83" i="2" s="1"/>
  <c r="B83" i="5"/>
  <c r="J80" i="2"/>
  <c r="N80" i="2" s="1"/>
  <c r="E82" i="2"/>
  <c r="F82" i="2" s="1"/>
  <c r="M50" i="2"/>
  <c r="R50" i="2" s="1"/>
  <c r="Q50" i="2"/>
  <c r="P50" i="2"/>
  <c r="H82" i="2" l="1"/>
  <c r="I82" i="2" s="1"/>
  <c r="E83" i="2"/>
  <c r="F83" i="2" s="1"/>
  <c r="H83" i="2" s="1"/>
  <c r="I83" i="2" s="1"/>
  <c r="J83" i="2" s="1"/>
  <c r="N83" i="2" s="1"/>
  <c r="B84" i="5"/>
  <c r="C84" i="2"/>
  <c r="G84" i="2" s="1"/>
  <c r="B85" i="2"/>
  <c r="D84" i="2"/>
  <c r="E84" i="2" s="1"/>
  <c r="F84" i="2" s="1"/>
  <c r="H84" i="2" s="1"/>
  <c r="I84" i="2" s="1"/>
  <c r="O84" i="2"/>
  <c r="S50" i="2"/>
  <c r="L51" i="2" s="1"/>
  <c r="M51" i="2" s="1"/>
  <c r="R51" i="2" s="1"/>
  <c r="D85" i="2" l="1"/>
  <c r="B85" i="5"/>
  <c r="C85" i="2"/>
  <c r="G85" i="2" s="1"/>
  <c r="O85" i="2"/>
  <c r="J84" i="2"/>
  <c r="N84" i="2" s="1"/>
  <c r="J82" i="2"/>
  <c r="N82" i="2" s="1"/>
  <c r="Q51" i="2"/>
  <c r="P51" i="2"/>
  <c r="S51" i="2" l="1"/>
  <c r="L52" i="2" s="1"/>
  <c r="E85" i="2"/>
  <c r="Q52" i="2"/>
  <c r="M52" i="2"/>
  <c r="R52" i="2" s="1"/>
  <c r="P52" i="2"/>
  <c r="F85" i="2" l="1"/>
  <c r="E89" i="2"/>
  <c r="S52" i="2"/>
  <c r="L53" i="2" s="1"/>
  <c r="B37" i="1" l="1"/>
  <c r="C37" i="1"/>
  <c r="H85" i="2"/>
  <c r="I85" i="2" s="1"/>
  <c r="M53" i="2"/>
  <c r="R53" i="2" s="1"/>
  <c r="P53" i="2"/>
  <c r="Q53" i="2"/>
  <c r="J85" i="2" l="1"/>
  <c r="N85" i="2" s="1"/>
  <c r="S53" i="2"/>
  <c r="L54" i="2" s="1"/>
  <c r="M54" i="2" s="1"/>
  <c r="R54" i="2" s="1"/>
  <c r="P54" i="2"/>
  <c r="Q54" i="2"/>
  <c r="S54" i="2" l="1"/>
  <c r="L55" i="2" s="1"/>
  <c r="P55" i="2" s="1"/>
  <c r="M55" i="2" l="1"/>
  <c r="R55" i="2" s="1"/>
  <c r="Q55" i="2"/>
  <c r="S55" i="2" l="1"/>
  <c r="L56" i="2" s="1"/>
  <c r="M56" i="2" s="1"/>
  <c r="R56" i="2" s="1"/>
  <c r="P56" i="2" l="1"/>
  <c r="Q56" i="2"/>
  <c r="S56" i="2" s="1"/>
  <c r="L57" i="2" s="1"/>
  <c r="Q57" i="2" l="1"/>
  <c r="M57" i="2"/>
  <c r="R57" i="2" s="1"/>
  <c r="P57" i="2"/>
  <c r="S57" i="2" l="1"/>
  <c r="L58" i="2" s="1"/>
  <c r="M58" i="2" s="1"/>
  <c r="R58" i="2" s="1"/>
  <c r="Q58" i="2"/>
  <c r="P58" i="2"/>
  <c r="S58" i="2" l="1"/>
  <c r="L59" i="2" s="1"/>
  <c r="M59" i="2" s="1"/>
  <c r="R59" i="2" s="1"/>
  <c r="Q59" i="2"/>
  <c r="P59" i="2"/>
  <c r="S59" i="2" l="1"/>
  <c r="L60" i="2" s="1"/>
  <c r="Q60" i="2" s="1"/>
  <c r="M60" i="2" l="1"/>
  <c r="R60" i="2" s="1"/>
  <c r="P60" i="2"/>
  <c r="S60" i="2" l="1"/>
  <c r="L61" i="2" s="1"/>
  <c r="M61" i="2" s="1"/>
  <c r="R61" i="2" s="1"/>
  <c r="Q61" i="2" l="1"/>
  <c r="P61" i="2"/>
  <c r="S61" i="2" l="1"/>
  <c r="L62" i="2" s="1"/>
  <c r="M62" i="2" s="1"/>
  <c r="R62" i="2" s="1"/>
  <c r="P62" i="2"/>
  <c r="Q62" i="2"/>
  <c r="S62" i="2" l="1"/>
  <c r="L63" i="2" s="1"/>
  <c r="M63" i="2" s="1"/>
  <c r="R63" i="2" s="1"/>
  <c r="P63" i="2"/>
  <c r="Q63" i="2"/>
  <c r="S63" i="2" l="1"/>
  <c r="L64" i="2" s="1"/>
  <c r="Q64" i="2"/>
  <c r="M64" i="2"/>
  <c r="R64" i="2" s="1"/>
  <c r="P64" i="2"/>
  <c r="S64" i="2" l="1"/>
  <c r="L65" i="2" s="1"/>
  <c r="M65" i="2" s="1"/>
  <c r="R65" i="2" s="1"/>
  <c r="Q65" i="2"/>
  <c r="P65" i="2" l="1"/>
  <c r="S65" i="2" s="1"/>
  <c r="L66" i="2" s="1"/>
  <c r="M66" i="2" l="1"/>
  <c r="R66" i="2" s="1"/>
  <c r="P66" i="2"/>
  <c r="Q66" i="2"/>
  <c r="S66" i="2" l="1"/>
  <c r="L67" i="2" s="1"/>
  <c r="M67" i="2"/>
  <c r="R67" i="2" s="1"/>
  <c r="P67" i="2"/>
  <c r="Q67" i="2"/>
  <c r="S67" i="2" l="1"/>
  <c r="L68" i="2" s="1"/>
  <c r="Q68" i="2" s="1"/>
  <c r="P68" i="2" l="1"/>
  <c r="M68" i="2"/>
  <c r="R68" i="2" s="1"/>
  <c r="S68" i="2" l="1"/>
  <c r="L69" i="2" s="1"/>
  <c r="P69" i="2"/>
  <c r="Q69" i="2"/>
  <c r="M69" i="2"/>
  <c r="R69" i="2" s="1"/>
  <c r="S69" i="2" l="1"/>
  <c r="L70" i="2" s="1"/>
  <c r="Q70" i="2" l="1"/>
  <c r="M70" i="2"/>
  <c r="R70" i="2" s="1"/>
  <c r="P70" i="2"/>
  <c r="S70" i="2" l="1"/>
  <c r="L71" i="2" s="1"/>
  <c r="Q71" i="2" s="1"/>
  <c r="M71" i="2" l="1"/>
  <c r="R71" i="2" s="1"/>
  <c r="P71" i="2"/>
  <c r="S71" i="2" l="1"/>
  <c r="L72" i="2" s="1"/>
  <c r="P72" i="2"/>
  <c r="M72" i="2"/>
  <c r="R72" i="2" s="1"/>
  <c r="Q72" i="2"/>
  <c r="S72" i="2" l="1"/>
  <c r="L73" i="2" s="1"/>
  <c r="Q73" i="2" l="1"/>
  <c r="M73" i="2"/>
  <c r="R73" i="2" s="1"/>
  <c r="P73" i="2"/>
  <c r="S73" i="2" l="1"/>
  <c r="L74" i="2" s="1"/>
  <c r="M74" i="2" s="1"/>
  <c r="R74" i="2" s="1"/>
  <c r="Q74" i="2"/>
  <c r="P74" i="2" l="1"/>
  <c r="S74" i="2" s="1"/>
  <c r="L75" i="2" s="1"/>
  <c r="M75" i="2" l="1"/>
  <c r="R75" i="2" s="1"/>
  <c r="Q75" i="2"/>
  <c r="P75" i="2"/>
  <c r="S75" i="2" s="1"/>
  <c r="L76" i="2" s="1"/>
  <c r="M76" i="2" l="1"/>
  <c r="R76" i="2" s="1"/>
  <c r="P76" i="2"/>
  <c r="Q76" i="2"/>
  <c r="S76" i="2" l="1"/>
  <c r="L77" i="2" s="1"/>
  <c r="M77" i="2"/>
  <c r="P77" i="2"/>
  <c r="Q77" i="2"/>
  <c r="R77" i="2" l="1"/>
  <c r="S77" i="2" s="1"/>
  <c r="L78" i="2" s="1"/>
  <c r="M78" i="2" l="1"/>
  <c r="R78" i="2" s="1"/>
  <c r="P78" i="2"/>
  <c r="Q78" i="2"/>
  <c r="S78" i="2" l="1"/>
  <c r="L79" i="2" s="1"/>
  <c r="M79" i="2" l="1"/>
  <c r="R79" i="2" s="1"/>
  <c r="P79" i="2"/>
  <c r="Q79" i="2"/>
  <c r="S79" i="2" l="1"/>
  <c r="L80" i="2" s="1"/>
  <c r="P80" i="2" s="1"/>
  <c r="Q80" i="2" l="1"/>
  <c r="M80" i="2"/>
  <c r="R80" i="2" s="1"/>
  <c r="S80" i="2" l="1"/>
  <c r="L81" i="2" s="1"/>
  <c r="P81" i="2"/>
  <c r="M81" i="2"/>
  <c r="Q81" i="2"/>
  <c r="R81" i="2" l="1"/>
  <c r="S81" i="2" s="1"/>
  <c r="L82" i="2" s="1"/>
  <c r="M82" i="2" l="1"/>
  <c r="R82" i="2" s="1"/>
  <c r="P82" i="2"/>
  <c r="Q82" i="2"/>
  <c r="S82" i="2" l="1"/>
  <c r="L83" i="2" s="1"/>
  <c r="P83" i="2"/>
  <c r="M83" i="2"/>
  <c r="R83" i="2" s="1"/>
  <c r="Q83" i="2"/>
  <c r="S83" i="2" l="1"/>
  <c r="L84" i="2" s="1"/>
  <c r="P84" i="2" s="1"/>
  <c r="M84" i="2" l="1"/>
  <c r="R84" i="2" s="1"/>
  <c r="Q84" i="2"/>
  <c r="S84" i="2" l="1"/>
  <c r="L85" i="2" s="1"/>
  <c r="P85" i="2" s="1"/>
  <c r="Q85" i="2"/>
  <c r="M85" i="2" l="1"/>
  <c r="R85" i="2" s="1"/>
  <c r="S85" i="2" l="1"/>
</calcChain>
</file>

<file path=xl/comments1.xml><?xml version="1.0" encoding="utf-8"?>
<comments xmlns="http://schemas.openxmlformats.org/spreadsheetml/2006/main">
  <authors>
    <author>ABS</author>
  </authors>
  <commentList>
    <comment ref="C5" authorId="0" shapeId="0">
      <text>
        <r>
          <rPr>
            <sz val="8"/>
            <rFont val="Arial"/>
            <family val="2"/>
          </rPr>
          <t>ex – expectation of life at exact age x.</t>
        </r>
      </text>
    </comment>
    <comment ref="D5" authorId="0" shapeId="0">
      <text>
        <r>
          <rPr>
            <sz val="8"/>
            <rFont val="Arial"/>
            <family val="2"/>
          </rPr>
          <t>ex – expectation of life at exact age x.</t>
        </r>
      </text>
    </comment>
  </commentList>
</comments>
</file>

<file path=xl/sharedStrings.xml><?xml version="1.0" encoding="utf-8"?>
<sst xmlns="http://schemas.openxmlformats.org/spreadsheetml/2006/main" count="134" uniqueCount="130">
  <si>
    <t>Superannuation model</t>
  </si>
  <si>
    <t>Commencing age</t>
  </si>
  <si>
    <t>Commencing salary ($'000)</t>
  </si>
  <si>
    <t>Final salary ($'000)</t>
  </si>
  <si>
    <t>Policy inputs</t>
  </si>
  <si>
    <t>SGL rate</t>
  </si>
  <si>
    <t>Contribution tax</t>
  </si>
  <si>
    <t>Earning tax</t>
  </si>
  <si>
    <t>Contributor inputs</t>
  </si>
  <si>
    <t>Annual fixed fees</t>
  </si>
  <si>
    <t>Fees as % of accumulation (incl trails)</t>
  </si>
  <si>
    <t>Outputs</t>
  </si>
  <si>
    <t>Fees and earnings</t>
  </si>
  <si>
    <t>Workings</t>
  </si>
  <si>
    <t>Age</t>
  </si>
  <si>
    <t>Notional income</t>
  </si>
  <si>
    <t>Actual income</t>
  </si>
  <si>
    <t>SGL in</t>
  </si>
  <si>
    <t>Age of break from full time workforce</t>
  </si>
  <si>
    <t>Years out of full time workforce</t>
  </si>
  <si>
    <t>Fraction employed in those years</t>
  </si>
  <si>
    <t>Salary multiple</t>
  </si>
  <si>
    <t>Open balance</t>
  </si>
  <si>
    <t>Earning</t>
  </si>
  <si>
    <t>Percentagebased fees</t>
  </si>
  <si>
    <t>Fixed fees</t>
  </si>
  <si>
    <t>Contribution</t>
  </si>
  <si>
    <t>End of year balance</t>
  </si>
  <si>
    <t>100 and over</t>
  </si>
  <si>
    <t>Male</t>
  </si>
  <si>
    <t>Female</t>
  </si>
  <si>
    <t>Average</t>
  </si>
  <si>
    <t>Life expectancey tables</t>
  </si>
  <si>
    <t>Assumes annuity fees and earnings same as super</t>
  </si>
  <si>
    <t>Range</t>
  </si>
  <si>
    <t>Base</t>
  </si>
  <si>
    <t>Marginal rate</t>
  </si>
  <si>
    <t>Lower</t>
  </si>
  <si>
    <t>Upper</t>
  </si>
  <si>
    <t>Medicare</t>
  </si>
  <si>
    <t>Taxes on final salary</t>
  </si>
  <si>
    <t>Final salary</t>
  </si>
  <si>
    <t>Tax</t>
  </si>
  <si>
    <t>Final net salary</t>
  </si>
  <si>
    <t>The user can model breaks from workforce for</t>
  </si>
  <si>
    <t>Standard annuity formula used</t>
  </si>
  <si>
    <t>Annuity income as % of adult full time earnings</t>
  </si>
  <si>
    <t>Net super-annuation contribution</t>
  </si>
  <si>
    <t>Average income</t>
  </si>
  <si>
    <t xml:space="preserve"> childcare, study, unemployment etc</t>
  </si>
  <si>
    <t>Data for graph</t>
  </si>
  <si>
    <t>Salary</t>
  </si>
  <si>
    <t>Net salary</t>
  </si>
  <si>
    <t>Annuity</t>
  </si>
  <si>
    <t>Income</t>
  </si>
  <si>
    <t>Amount $'000</t>
  </si>
  <si>
    <t>Lump sum</t>
  </si>
  <si>
    <t>Lump sum contribution at age</t>
  </si>
  <si>
    <t>Finishing age (60 to 70)</t>
  </si>
  <si>
    <t>Return calculation</t>
  </si>
  <si>
    <t>Weighting in balanced portfolio</t>
  </si>
  <si>
    <t>Weighted return</t>
  </si>
  <si>
    <t>Australian shares</t>
  </si>
  <si>
    <t>Cash</t>
  </si>
  <si>
    <t>Real average return over 20 years</t>
  </si>
  <si>
    <t>Real return (i.e. nominal return minus inflation) before fees. Returns</t>
  </si>
  <si>
    <t xml:space="preserve">  percent a year.  See the sheet "Returns".</t>
  </si>
  <si>
    <t>Fees range from around 0.8% up to 2.1% in master trusts.</t>
  </si>
  <si>
    <t>Australian fixed interest</t>
  </si>
  <si>
    <t>Check if contribution is tax deductible (e.g. salary sacrifice)</t>
  </si>
  <si>
    <t>Cont tax rebate</t>
  </si>
  <si>
    <t>Co-contribution</t>
  </si>
  <si>
    <t>Regular contribution calculations</t>
  </si>
  <si>
    <t>Superannuation account incl lump sum</t>
  </si>
  <si>
    <t>Extra and co-contribution</t>
  </si>
  <si>
    <t>Less extra contribution</t>
  </si>
  <si>
    <t>Fund earning rate (real)</t>
  </si>
  <si>
    <t>ABS 3302055001DO001_20092011 Life Tables, States, Territories and Australia, 2009-2011</t>
  </si>
  <si>
    <t>Low income tax offset</t>
  </si>
  <si>
    <t>LITO base</t>
  </si>
  <si>
    <t xml:space="preserve">        min Y</t>
  </si>
  <si>
    <t xml:space="preserve">        max Y</t>
  </si>
  <si>
    <t xml:space="preserve">        taper</t>
  </si>
  <si>
    <t>Low income contribution ($500 max)</t>
  </si>
  <si>
    <t>Self managed option</t>
  </si>
  <si>
    <t>Self managed threshold $'000</t>
  </si>
  <si>
    <t>Self managed fees</t>
  </si>
  <si>
    <t>Click self-managed box if contribuor changes to a SMSF at a certain accumulation.</t>
  </si>
  <si>
    <t>Assumes max co-contribution of $500 as long as eligible</t>
  </si>
  <si>
    <t xml:space="preserve">   contribution generally must be &lt; 180K or $540K over 3 years</t>
  </si>
  <si>
    <t>To accommodate a lump sum -- inheritance, windfall -- if made as tax-paid</t>
  </si>
  <si>
    <t>Possibly to be increased to 12%</t>
  </si>
  <si>
    <t>Based on 2015-16 tax tables</t>
  </si>
  <si>
    <t xml:space="preserve">Up to $500 govt contribution for incomes up to $37 000. </t>
  </si>
  <si>
    <t>Source: ASX</t>
  </si>
  <si>
    <t>Nominal annual return 1994-2014</t>
  </si>
  <si>
    <t>Consumer price index average  over 20 years</t>
  </si>
  <si>
    <t xml:space="preserve">  over last 20 years for a balanced portfolio have been around 5.6</t>
  </si>
  <si>
    <t xml:space="preserve">  includes "budget repair levy" of 2 per cent</t>
  </si>
  <si>
    <t>Supermodel</t>
  </si>
  <si>
    <t>Users can simulate various "what if" scenarios.  What if the SGL is raised to 12 per cent? What if the Low Income Superannuation Contribution is abolished? What if the tax on earnings is changed?  And so on.</t>
  </si>
  <si>
    <t>All figures are in constant (2016) prices. Outcomes are independent of inflation. It implicitly assumes 2016 income tax rates are indexed in line with future inflation.</t>
  </si>
  <si>
    <t>Driving instructions</t>
  </si>
  <si>
    <t>The user can choose:</t>
  </si>
  <si>
    <t>Commencing and final income -- if these are different a steady increment is assumed;</t>
  </si>
  <si>
    <t>Commencing and finishing age as a worker and therefore as a contributor to superannuation;</t>
  </si>
  <si>
    <t>Whether the Low Income Superannuation Contribution is in place;</t>
  </si>
  <si>
    <t>The fund's earning rate before fees (in real terms);</t>
  </si>
  <si>
    <t>The fund's fees, both as a percentage of capital and as a fixed dollar amount;</t>
  </si>
  <si>
    <t>Whether the contributor moves to a self-managed fund once his or her balance reaches a certain amount. The assumed fees -- fixed -- for an SMSF should be entered.  Generally one would not move to an SMSF until there is around $250 000 - $300 000 in the account.</t>
  </si>
  <si>
    <t>Technical stuff</t>
  </si>
  <si>
    <t>The workbook is protected, which means only the white cells on the "workings" sheet can be changed. But if you want to develop it further you can "unprotect" it (to use Microsoft language). There is no password protection.</t>
  </si>
  <si>
    <t>Legal stuff</t>
  </si>
  <si>
    <t>Although earlier versions of "Supermodel" have been cross-checked against other models, I make no guarantee for its accuracy -- particularly if people enter values outside what one would consider realistic assumptions.</t>
  </si>
  <si>
    <t>This model is in the public domain. It, or any model dericed from it, may not be used for any commercial purpose</t>
  </si>
  <si>
    <t>Superannuation is complex. This model covers most situations people will encounter. I commend the websites of the industry superannuation funds, the Securities and Investments Commission (ASIC), and the Australian Taxation Office (ATO) for full details.</t>
  </si>
  <si>
    <t>Industry superannuation funds website</t>
  </si>
  <si>
    <t>ASIC superannuation website</t>
  </si>
  <si>
    <t>ATO superannuation website</t>
  </si>
  <si>
    <t>"Supermodel" is designed as an aid to understanding policy options around superannuation.</t>
  </si>
  <si>
    <t>It models the outcomes, both in terms of lump sum accumulation and annuity income.</t>
  </si>
  <si>
    <t>The main implication for users is they should insert real rates of return into their assumption about the fund's earning rate.  If the nominal (advertised or posted) rate of return on an investment is, say, 7 per cent, and inflation is 2 per cent, the real return would be 5 per cent.</t>
  </si>
  <si>
    <t>On the worksheet "model" the user can enter his or her assumptions into all white cells.  All other cells are locked.  The outputs are in yellow shaded cells.</t>
  </si>
  <si>
    <t>A break from the workforce at one particular age, for a chosen number of years, with allowance for work at a lower income (e.g. a break at age 25, for five years, with an income of 20 per cent of what he or she may otherwise earn.);</t>
  </si>
  <si>
    <t xml:space="preserve">A once-off lump sum contribution at a chosen age. either "concessional" (tax deductible) or "non-concessional".  Note the limits set by regulation. </t>
  </si>
  <si>
    <t>The main policy parameters – the SGL rate (9.5 per cent default), the contribution tax rate and the earning tax rate (15 per cent default);</t>
  </si>
  <si>
    <t>It is not designed for personal planning. If you are seeking personal advice, my recommendation is to seek the services of a reputable advisor who operates on a fee-for-service basis, and has no interest in promoting any particular product. Avoid those "financial planners"  offering "free" advice.  (In reality they are commisison agents who want to cream off part of your savings.)</t>
  </si>
  <si>
    <t>Full time adult total earnings Nov 2017 $'000</t>
  </si>
  <si>
    <t>All employees total earnings Nov 2017 $'000</t>
  </si>
  <si>
    <t>Tax tables 2016-17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</si>
</sst>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0%"/>
    <numFmt numFmtId="166" formatCode="0.0"/>
  </numFmts>
  <fonts count="15" x14ac:knownFonts="1">
    <font>
      <sz val="10"/>
      <name val="Arial"/>
    </font>
    <font>
      <sz val="10"/>
      <name val="Arial"/>
    </font>
    <font>
      <b/>
      <sz val="10"/>
      <name val="Arial"/>
      <family val="2"/>
    </font>
    <font>
      <b/>
      <sz val="12"/>
      <name val="Arial"/>
      <family val="2"/>
    </font>
    <font>
      <sz val="10"/>
      <name val="Arial"/>
      <family val="2"/>
    </font>
    <font>
      <sz val="8"/>
      <name val="Arial"/>
    </font>
    <font>
      <sz val="8"/>
      <name val="Arial"/>
      <family val="2"/>
    </font>
    <font>
      <sz val="9"/>
      <name val="Arial"/>
    </font>
    <font>
      <sz val="10"/>
      <color indexed="45"/>
      <name val="Arial"/>
    </font>
    <font>
      <u/>
      <sz val="10"/>
      <color theme="10"/>
      <name val="Arial"/>
    </font>
    <font>
      <b/>
      <sz val="18"/>
      <name val="Calibri"/>
      <family val="2"/>
      <scheme val="minor"/>
    </font>
    <font>
      <sz val="14"/>
      <color rgb="FF000000"/>
      <name val="Calibri"/>
      <family val="2"/>
    </font>
    <font>
      <sz val="14"/>
      <name val="Calibri"/>
      <family val="2"/>
      <scheme val="minor"/>
    </font>
    <font>
      <b/>
      <sz val="14"/>
      <name val="Calibri"/>
      <family val="2"/>
      <scheme val="minor"/>
    </font>
    <font>
      <u/>
      <sz val="14"/>
      <color theme="10"/>
      <name val="Calibri"/>
      <family val="2"/>
      <scheme val="minor"/>
    </font>
  </fonts>
  <fills count="5">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9"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xf numFmtId="2" fontId="0" fillId="0" borderId="0" xfId="0" applyNumberFormat="1"/>
    <xf numFmtId="3" fontId="0" fillId="0" borderId="0" xfId="0" applyNumberFormat="1"/>
    <xf numFmtId="2" fontId="4" fillId="0" borderId="0" xfId="0" applyNumberFormat="1" applyFont="1" applyAlignment="1">
      <alignment horizontal="right" wrapText="1"/>
    </xf>
    <xf numFmtId="0" fontId="6" fillId="0" borderId="0" xfId="0" applyFont="1" applyAlignment="1">
      <alignment horizontal="left"/>
    </xf>
    <xf numFmtId="166" fontId="0" fillId="0" borderId="0" xfId="0" applyNumberFormat="1"/>
    <xf numFmtId="2" fontId="4" fillId="0" borderId="0" xfId="0" applyNumberFormat="1" applyFont="1" applyAlignment="1">
      <alignment horizontal="right"/>
    </xf>
    <xf numFmtId="0" fontId="0" fillId="0" borderId="1" xfId="0" applyBorder="1" applyAlignment="1">
      <alignment horizontal="right" wrapText="1"/>
    </xf>
    <xf numFmtId="0" fontId="0" fillId="0" borderId="2" xfId="0" applyBorder="1" applyAlignment="1">
      <alignment horizontal="right"/>
    </xf>
    <xf numFmtId="165" fontId="0" fillId="0" borderId="0" xfId="2" applyNumberFormat="1" applyFont="1"/>
    <xf numFmtId="0" fontId="5" fillId="0" borderId="1" xfId="0" applyFont="1" applyBorder="1" applyAlignment="1">
      <alignment horizontal="right" vertical="top" wrapText="1"/>
    </xf>
    <xf numFmtId="0" fontId="0" fillId="0" borderId="1" xfId="0" applyBorder="1"/>
    <xf numFmtId="0" fontId="3" fillId="2" borderId="0" xfId="0" applyFont="1" applyFill="1"/>
    <xf numFmtId="0" fontId="0" fillId="2" borderId="0" xfId="0" applyFill="1"/>
    <xf numFmtId="0" fontId="2" fillId="2" borderId="0" xfId="0" applyFont="1" applyFill="1"/>
    <xf numFmtId="0" fontId="4" fillId="2" borderId="0" xfId="0" applyFont="1" applyFill="1"/>
    <xf numFmtId="1" fontId="0" fillId="2" borderId="0" xfId="0" applyNumberFormat="1" applyFill="1"/>
    <xf numFmtId="3" fontId="0" fillId="3" borderId="3" xfId="0" applyNumberFormat="1" applyFill="1" applyBorder="1"/>
    <xf numFmtId="9" fontId="0" fillId="3" borderId="3" xfId="2" applyFont="1" applyFill="1" applyBorder="1"/>
    <xf numFmtId="9" fontId="0" fillId="3" borderId="3" xfId="0" applyNumberFormat="1" applyFill="1" applyBorder="1"/>
    <xf numFmtId="0" fontId="0" fillId="4" borderId="3" xfId="0" applyFill="1" applyBorder="1" applyProtection="1">
      <protection locked="0"/>
    </xf>
    <xf numFmtId="9" fontId="0" fillId="4" borderId="3" xfId="0" applyNumberFormat="1" applyFill="1" applyBorder="1" applyProtection="1">
      <protection locked="0"/>
    </xf>
    <xf numFmtId="165" fontId="0" fillId="4" borderId="3" xfId="0" applyNumberFormat="1" applyFill="1" applyBorder="1" applyProtection="1">
      <protection locked="0"/>
    </xf>
    <xf numFmtId="164" fontId="0" fillId="4" borderId="3" xfId="0" applyNumberFormat="1" applyFill="1" applyBorder="1" applyProtection="1">
      <protection locked="0"/>
    </xf>
    <xf numFmtId="9" fontId="0" fillId="2" borderId="0" xfId="0" applyNumberFormat="1" applyFill="1" applyBorder="1" applyProtection="1">
      <protection locked="0"/>
    </xf>
    <xf numFmtId="1" fontId="0" fillId="4" borderId="3" xfId="0" applyNumberFormat="1" applyFill="1" applyBorder="1" applyProtection="1">
      <protection locked="0"/>
    </xf>
    <xf numFmtId="3" fontId="0" fillId="4" borderId="3" xfId="0" applyNumberFormat="1" applyFill="1" applyBorder="1" applyProtection="1">
      <protection locked="0"/>
    </xf>
    <xf numFmtId="0" fontId="7" fillId="0" borderId="1" xfId="0" applyFont="1" applyBorder="1" applyAlignment="1">
      <alignment horizontal="right" vertical="top" wrapText="1"/>
    </xf>
    <xf numFmtId="165" fontId="1" fillId="0" borderId="0" xfId="2" applyNumberFormat="1"/>
    <xf numFmtId="166" fontId="0" fillId="0" borderId="4" xfId="0" applyNumberFormat="1" applyBorder="1"/>
    <xf numFmtId="165" fontId="1" fillId="0" borderId="4" xfId="2" applyNumberFormat="1" applyBorder="1"/>
    <xf numFmtId="165" fontId="0" fillId="0" borderId="0" xfId="0" applyNumberFormat="1"/>
    <xf numFmtId="3" fontId="0" fillId="2" borderId="0" xfId="0" applyNumberFormat="1" applyFill="1" applyBorder="1" applyProtection="1">
      <protection locked="0"/>
    </xf>
    <xf numFmtId="0" fontId="8" fillId="2" borderId="0" xfId="0" applyFont="1" applyFill="1" applyProtection="1">
      <protection locked="0"/>
    </xf>
    <xf numFmtId="0" fontId="4" fillId="0" borderId="0" xfId="0" applyFont="1"/>
    <xf numFmtId="10" fontId="0" fillId="0" borderId="0" xfId="0" applyNumberFormat="1"/>
    <xf numFmtId="3" fontId="0" fillId="0" borderId="4" xfId="0" applyNumberFormat="1" applyBorder="1"/>
    <xf numFmtId="166" fontId="0" fillId="3" borderId="3" xfId="0" applyNumberFormat="1" applyFill="1" applyBorder="1"/>
    <xf numFmtId="0" fontId="9" fillId="0" borderId="0" xfId="1"/>
    <xf numFmtId="0" fontId="10" fillId="0" borderId="0" xfId="0" applyFont="1"/>
    <xf numFmtId="0" fontId="11" fillId="0" borderId="0" xfId="0" applyFont="1" applyAlignment="1">
      <alignment horizontal="left" vertical="center" readingOrder="1"/>
    </xf>
    <xf numFmtId="0" fontId="11" fillId="0" borderId="0" xfId="0" applyFont="1" applyAlignment="1">
      <alignment horizontal="left" vertical="center" wrapText="1" readingOrder="1"/>
    </xf>
    <xf numFmtId="0" fontId="11" fillId="0" borderId="0" xfId="0" applyFont="1"/>
    <xf numFmtId="0" fontId="11" fillId="0" borderId="0" xfId="0" applyFont="1" applyAlignment="1">
      <alignment wrapText="1"/>
    </xf>
    <xf numFmtId="0" fontId="12" fillId="0" borderId="0" xfId="0" applyFont="1" applyAlignment="1">
      <alignment wrapText="1"/>
    </xf>
    <xf numFmtId="0" fontId="12" fillId="0" borderId="0" xfId="0" applyFont="1"/>
    <xf numFmtId="0" fontId="12" fillId="0" borderId="0" xfId="0" applyFont="1" applyAlignment="1">
      <alignment horizontal="left" wrapText="1" indent="1"/>
    </xf>
    <xf numFmtId="0" fontId="12" fillId="0" borderId="0" xfId="0" applyFont="1" applyAlignment="1">
      <alignment horizontal="left" indent="1"/>
    </xf>
    <xf numFmtId="0" fontId="13" fillId="0" borderId="0" xfId="0" applyFont="1"/>
    <xf numFmtId="0" fontId="12" fillId="0" borderId="0" xfId="0" applyFont="1" applyAlignment="1">
      <alignment horizontal="left" wrapText="1"/>
    </xf>
    <xf numFmtId="0" fontId="14" fillId="0" borderId="0" xfId="1" applyFont="1" applyAlignment="1">
      <alignment horizontal="left" indent="1"/>
    </xf>
    <xf numFmtId="0" fontId="0" fillId="0" borderId="1" xfId="0" applyBorder="1" applyAlignment="1">
      <alignment horizont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E4D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Income (after tax) over working life and retirement</a:t>
            </a:r>
          </a:p>
        </c:rich>
      </c:tx>
      <c:layout>
        <c:manualLayout>
          <c:xMode val="edge"/>
          <c:yMode val="edge"/>
          <c:x val="0.25380710659898476"/>
          <c:y val="3.4985422740524783E-2"/>
        </c:manualLayout>
      </c:layout>
      <c:overlay val="0"/>
      <c:spPr>
        <a:noFill/>
        <a:ln w="25400">
          <a:noFill/>
        </a:ln>
      </c:spPr>
    </c:title>
    <c:autoTitleDeleted val="0"/>
    <c:plotArea>
      <c:layout>
        <c:manualLayout>
          <c:layoutTarget val="inner"/>
          <c:xMode val="edge"/>
          <c:yMode val="edge"/>
          <c:x val="8.1218274111675121E-2"/>
          <c:y val="0.19533555503990957"/>
          <c:w val="0.8908629441624365"/>
          <c:h val="0.62099213766419015"/>
        </c:manualLayout>
      </c:layout>
      <c:scatterChart>
        <c:scatterStyle val="lineMarker"/>
        <c:varyColors val="0"/>
        <c:ser>
          <c:idx val="1"/>
          <c:order val="0"/>
          <c:tx>
            <c:strRef>
              <c:f>Graphdata!$H$4</c:f>
              <c:strCache>
                <c:ptCount val="1"/>
                <c:pt idx="0">
                  <c:v>Income</c:v>
                </c:pt>
              </c:strCache>
            </c:strRef>
          </c:tx>
          <c:spPr>
            <a:ln w="25400">
              <a:solidFill>
                <a:srgbClr val="993300"/>
              </a:solidFill>
              <a:prstDash val="solid"/>
            </a:ln>
          </c:spPr>
          <c:marker>
            <c:symbol val="none"/>
          </c:marker>
          <c:xVal>
            <c:numRef>
              <c:f>Graphdata!$B$5:$B$60</c:f>
              <c:numCache>
                <c:formatCode>General</c:formatCode>
                <c:ptCount val="5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numCache>
            </c:numRef>
          </c:xVal>
          <c:yVal>
            <c:numRef>
              <c:f>Graphdata!$H$5:$H$60</c:f>
              <c:numCache>
                <c:formatCode>#,##0</c:formatCode>
                <c:ptCount val="56"/>
                <c:pt idx="0">
                  <c:v>41453</c:v>
                </c:pt>
                <c:pt idx="1">
                  <c:v>42643.69767441861</c:v>
                </c:pt>
                <c:pt idx="2">
                  <c:v>43834.395348837206</c:v>
                </c:pt>
                <c:pt idx="3">
                  <c:v>45025.093023255817</c:v>
                </c:pt>
                <c:pt idx="4">
                  <c:v>46215.790697674413</c:v>
                </c:pt>
                <c:pt idx="5">
                  <c:v>47406.488372093023</c:v>
                </c:pt>
                <c:pt idx="6">
                  <c:v>48597.186046511626</c:v>
                </c:pt>
                <c:pt idx="7">
                  <c:v>49787.883720930229</c:v>
                </c:pt>
                <c:pt idx="8">
                  <c:v>50978.58139534884</c:v>
                </c:pt>
                <c:pt idx="9">
                  <c:v>52170.441860465122</c:v>
                </c:pt>
                <c:pt idx="10">
                  <c:v>53389.046511627908</c:v>
                </c:pt>
                <c:pt idx="11">
                  <c:v>54607.651162790702</c:v>
                </c:pt>
                <c:pt idx="12">
                  <c:v>55826.255813953489</c:v>
                </c:pt>
                <c:pt idx="13">
                  <c:v>57044.860465116275</c:v>
                </c:pt>
                <c:pt idx="14">
                  <c:v>58263.465116279069</c:v>
                </c:pt>
                <c:pt idx="15">
                  <c:v>59482.069767441862</c:v>
                </c:pt>
                <c:pt idx="16">
                  <c:v>60700.674418604656</c:v>
                </c:pt>
                <c:pt idx="17">
                  <c:v>61919.279069767435</c:v>
                </c:pt>
                <c:pt idx="18">
                  <c:v>63137.883720930229</c:v>
                </c:pt>
                <c:pt idx="19">
                  <c:v>64356.48837209303</c:v>
                </c:pt>
                <c:pt idx="20">
                  <c:v>65565.674418604656</c:v>
                </c:pt>
                <c:pt idx="21">
                  <c:v>66700.558139534871</c:v>
                </c:pt>
                <c:pt idx="22">
                  <c:v>67835.441860465129</c:v>
                </c:pt>
                <c:pt idx="23">
                  <c:v>68970.325581395344</c:v>
                </c:pt>
                <c:pt idx="24">
                  <c:v>70105.209302325573</c:v>
                </c:pt>
                <c:pt idx="25">
                  <c:v>71240.093023255817</c:v>
                </c:pt>
                <c:pt idx="26">
                  <c:v>72374.976744186046</c:v>
                </c:pt>
                <c:pt idx="27">
                  <c:v>73509.860465116275</c:v>
                </c:pt>
                <c:pt idx="28">
                  <c:v>74644.744186046504</c:v>
                </c:pt>
                <c:pt idx="29">
                  <c:v>75779.627906976762</c:v>
                </c:pt>
                <c:pt idx="30">
                  <c:v>76914.511627906977</c:v>
                </c:pt>
                <c:pt idx="31">
                  <c:v>78049.395348837206</c:v>
                </c:pt>
                <c:pt idx="32">
                  <c:v>79184.27906976745</c:v>
                </c:pt>
                <c:pt idx="33">
                  <c:v>80319.162790697665</c:v>
                </c:pt>
                <c:pt idx="34">
                  <c:v>81454.046511627908</c:v>
                </c:pt>
                <c:pt idx="35">
                  <c:v>82588.930232558138</c:v>
                </c:pt>
                <c:pt idx="36">
                  <c:v>83723.813953488367</c:v>
                </c:pt>
                <c:pt idx="37">
                  <c:v>84858.697674418596</c:v>
                </c:pt>
                <c:pt idx="38">
                  <c:v>85993.581395348825</c:v>
                </c:pt>
                <c:pt idx="39">
                  <c:v>87128.465116279083</c:v>
                </c:pt>
                <c:pt idx="40">
                  <c:v>88263.348837209312</c:v>
                </c:pt>
                <c:pt idx="41">
                  <c:v>89398.232558139527</c:v>
                </c:pt>
                <c:pt idx="42">
                  <c:v>90533.116279069771</c:v>
                </c:pt>
                <c:pt idx="43">
                  <c:v>91668</c:v>
                </c:pt>
                <c:pt idx="44">
                  <c:v>46762.112668271679</c:v>
                </c:pt>
                <c:pt idx="45">
                  <c:v>46762.112668271679</c:v>
                </c:pt>
                <c:pt idx="46">
                  <c:v>46762.112668271679</c:v>
                </c:pt>
                <c:pt idx="47">
                  <c:v>46762.112668271679</c:v>
                </c:pt>
                <c:pt idx="48">
                  <c:v>46762.112668271679</c:v>
                </c:pt>
                <c:pt idx="49">
                  <c:v>46762.112668271679</c:v>
                </c:pt>
                <c:pt idx="50">
                  <c:v>46762.112668271679</c:v>
                </c:pt>
                <c:pt idx="51">
                  <c:v>46762.112668271679</c:v>
                </c:pt>
                <c:pt idx="52">
                  <c:v>46762.112668271679</c:v>
                </c:pt>
                <c:pt idx="53">
                  <c:v>46762.112668271679</c:v>
                </c:pt>
                <c:pt idx="54">
                  <c:v>46762.112668271679</c:v>
                </c:pt>
                <c:pt idx="55">
                  <c:v>46762.112668271679</c:v>
                </c:pt>
              </c:numCache>
            </c:numRef>
          </c:yVal>
          <c:smooth val="0"/>
        </c:ser>
        <c:dLbls>
          <c:showLegendKey val="0"/>
          <c:showVal val="0"/>
          <c:showCatName val="0"/>
          <c:showSerName val="0"/>
          <c:showPercent val="0"/>
          <c:showBubbleSize val="0"/>
        </c:dLbls>
        <c:axId val="522686976"/>
        <c:axId val="522688544"/>
      </c:scatterChart>
      <c:valAx>
        <c:axId val="522686976"/>
        <c:scaling>
          <c:orientation val="minMax"/>
          <c:min val="20"/>
        </c:scaling>
        <c:delete val="0"/>
        <c:axPos val="b"/>
        <c:title>
          <c:tx>
            <c:rich>
              <a:bodyPr/>
              <a:lstStyle/>
              <a:p>
                <a:pPr>
                  <a:defRPr sz="825" b="1" i="0" u="none" strike="noStrike" baseline="0">
                    <a:solidFill>
                      <a:srgbClr val="000000"/>
                    </a:solidFill>
                    <a:latin typeface="Arial"/>
                    <a:ea typeface="Arial"/>
                    <a:cs typeface="Arial"/>
                  </a:defRPr>
                </a:pPr>
                <a:r>
                  <a:rPr lang="en-AU"/>
                  <a:t>Age</a:t>
                </a:r>
              </a:p>
            </c:rich>
          </c:tx>
          <c:layout>
            <c:manualLayout>
              <c:xMode val="edge"/>
              <c:yMode val="edge"/>
              <c:x val="0.51015228426395942"/>
              <c:y val="0.895044956115179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688544"/>
        <c:crosses val="autoZero"/>
        <c:crossBetween val="midCat"/>
      </c:valAx>
      <c:valAx>
        <c:axId val="522688544"/>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686976"/>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Income (after tax) over working and annuity period</a:t>
            </a:r>
          </a:p>
        </c:rich>
      </c:tx>
      <c:layout>
        <c:manualLayout>
          <c:xMode val="edge"/>
          <c:yMode val="edge"/>
          <c:x val="0.29351982844584068"/>
          <c:y val="3.5087719298245612E-2"/>
        </c:manualLayout>
      </c:layout>
      <c:overlay val="0"/>
      <c:spPr>
        <a:noFill/>
        <a:ln w="25400">
          <a:noFill/>
        </a:ln>
      </c:spPr>
    </c:title>
    <c:autoTitleDeleted val="0"/>
    <c:plotArea>
      <c:layout>
        <c:manualLayout>
          <c:layoutTarget val="inner"/>
          <c:xMode val="edge"/>
          <c:yMode val="edge"/>
          <c:x val="8.1321524406322218E-2"/>
          <c:y val="0.17836308240554871"/>
          <c:w val="0.89072482201299807"/>
          <c:h val="0.63742872072802659"/>
        </c:manualLayout>
      </c:layout>
      <c:scatterChart>
        <c:scatterStyle val="lineMarker"/>
        <c:varyColors val="0"/>
        <c:ser>
          <c:idx val="1"/>
          <c:order val="0"/>
          <c:tx>
            <c:strRef>
              <c:f>Graphdata!$H$4</c:f>
              <c:strCache>
                <c:ptCount val="1"/>
                <c:pt idx="0">
                  <c:v>Income</c:v>
                </c:pt>
              </c:strCache>
            </c:strRef>
          </c:tx>
          <c:spPr>
            <a:ln w="25400">
              <a:solidFill>
                <a:srgbClr val="993300"/>
              </a:solidFill>
              <a:prstDash val="solid"/>
            </a:ln>
          </c:spPr>
          <c:marker>
            <c:symbol val="none"/>
          </c:marker>
          <c:xVal>
            <c:numRef>
              <c:f>Graphdata!$B$5:$B$60</c:f>
              <c:numCache>
                <c:formatCode>General</c:formatCode>
                <c:ptCount val="5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numCache>
            </c:numRef>
          </c:xVal>
          <c:yVal>
            <c:numRef>
              <c:f>Graphdata!$H$5:$H$60</c:f>
              <c:numCache>
                <c:formatCode>#,##0</c:formatCode>
                <c:ptCount val="56"/>
                <c:pt idx="0">
                  <c:v>41453</c:v>
                </c:pt>
                <c:pt idx="1">
                  <c:v>42643.69767441861</c:v>
                </c:pt>
                <c:pt idx="2">
                  <c:v>43834.395348837206</c:v>
                </c:pt>
                <c:pt idx="3">
                  <c:v>45025.093023255817</c:v>
                </c:pt>
                <c:pt idx="4">
                  <c:v>46215.790697674413</c:v>
                </c:pt>
                <c:pt idx="5">
                  <c:v>47406.488372093023</c:v>
                </c:pt>
                <c:pt idx="6">
                  <c:v>48597.186046511626</c:v>
                </c:pt>
                <c:pt idx="7">
                  <c:v>49787.883720930229</c:v>
                </c:pt>
                <c:pt idx="8">
                  <c:v>50978.58139534884</c:v>
                </c:pt>
                <c:pt idx="9">
                  <c:v>52170.441860465122</c:v>
                </c:pt>
                <c:pt idx="10">
                  <c:v>53389.046511627908</c:v>
                </c:pt>
                <c:pt idx="11">
                  <c:v>54607.651162790702</c:v>
                </c:pt>
                <c:pt idx="12">
                  <c:v>55826.255813953489</c:v>
                </c:pt>
                <c:pt idx="13">
                  <c:v>57044.860465116275</c:v>
                </c:pt>
                <c:pt idx="14">
                  <c:v>58263.465116279069</c:v>
                </c:pt>
                <c:pt idx="15">
                  <c:v>59482.069767441862</c:v>
                </c:pt>
                <c:pt idx="16">
                  <c:v>60700.674418604656</c:v>
                </c:pt>
                <c:pt idx="17">
                  <c:v>61919.279069767435</c:v>
                </c:pt>
                <c:pt idx="18">
                  <c:v>63137.883720930229</c:v>
                </c:pt>
                <c:pt idx="19">
                  <c:v>64356.48837209303</c:v>
                </c:pt>
                <c:pt idx="20">
                  <c:v>65565.674418604656</c:v>
                </c:pt>
                <c:pt idx="21">
                  <c:v>66700.558139534871</c:v>
                </c:pt>
                <c:pt idx="22">
                  <c:v>67835.441860465129</c:v>
                </c:pt>
                <c:pt idx="23">
                  <c:v>68970.325581395344</c:v>
                </c:pt>
                <c:pt idx="24">
                  <c:v>70105.209302325573</c:v>
                </c:pt>
                <c:pt idx="25">
                  <c:v>71240.093023255817</c:v>
                </c:pt>
                <c:pt idx="26">
                  <c:v>72374.976744186046</c:v>
                </c:pt>
                <c:pt idx="27">
                  <c:v>73509.860465116275</c:v>
                </c:pt>
                <c:pt idx="28">
                  <c:v>74644.744186046504</c:v>
                </c:pt>
                <c:pt idx="29">
                  <c:v>75779.627906976762</c:v>
                </c:pt>
                <c:pt idx="30">
                  <c:v>76914.511627906977</c:v>
                </c:pt>
                <c:pt idx="31">
                  <c:v>78049.395348837206</c:v>
                </c:pt>
                <c:pt idx="32">
                  <c:v>79184.27906976745</c:v>
                </c:pt>
                <c:pt idx="33">
                  <c:v>80319.162790697665</c:v>
                </c:pt>
                <c:pt idx="34">
                  <c:v>81454.046511627908</c:v>
                </c:pt>
                <c:pt idx="35">
                  <c:v>82588.930232558138</c:v>
                </c:pt>
                <c:pt idx="36">
                  <c:v>83723.813953488367</c:v>
                </c:pt>
                <c:pt idx="37">
                  <c:v>84858.697674418596</c:v>
                </c:pt>
                <c:pt idx="38">
                  <c:v>85993.581395348825</c:v>
                </c:pt>
                <c:pt idx="39">
                  <c:v>87128.465116279083</c:v>
                </c:pt>
                <c:pt idx="40">
                  <c:v>88263.348837209312</c:v>
                </c:pt>
                <c:pt idx="41">
                  <c:v>89398.232558139527</c:v>
                </c:pt>
                <c:pt idx="42">
                  <c:v>90533.116279069771</c:v>
                </c:pt>
                <c:pt idx="43">
                  <c:v>91668</c:v>
                </c:pt>
                <c:pt idx="44">
                  <c:v>46762.112668271679</c:v>
                </c:pt>
                <c:pt idx="45">
                  <c:v>46762.112668271679</c:v>
                </c:pt>
                <c:pt idx="46">
                  <c:v>46762.112668271679</c:v>
                </c:pt>
                <c:pt idx="47">
                  <c:v>46762.112668271679</c:v>
                </c:pt>
                <c:pt idx="48">
                  <c:v>46762.112668271679</c:v>
                </c:pt>
                <c:pt idx="49">
                  <c:v>46762.112668271679</c:v>
                </c:pt>
                <c:pt idx="50">
                  <c:v>46762.112668271679</c:v>
                </c:pt>
                <c:pt idx="51">
                  <c:v>46762.112668271679</c:v>
                </c:pt>
                <c:pt idx="52">
                  <c:v>46762.112668271679</c:v>
                </c:pt>
                <c:pt idx="53">
                  <c:v>46762.112668271679</c:v>
                </c:pt>
                <c:pt idx="54">
                  <c:v>46762.112668271679</c:v>
                </c:pt>
                <c:pt idx="55">
                  <c:v>46762.112668271679</c:v>
                </c:pt>
              </c:numCache>
            </c:numRef>
          </c:yVal>
          <c:smooth val="0"/>
        </c:ser>
        <c:dLbls>
          <c:showLegendKey val="0"/>
          <c:showVal val="0"/>
          <c:showCatName val="0"/>
          <c:showSerName val="0"/>
          <c:showPercent val="0"/>
          <c:showBubbleSize val="0"/>
        </c:dLbls>
        <c:axId val="522691680"/>
        <c:axId val="214603728"/>
      </c:scatterChart>
      <c:valAx>
        <c:axId val="522691680"/>
        <c:scaling>
          <c:orientation val="minMax"/>
          <c:min val="20"/>
        </c:scaling>
        <c:delete val="0"/>
        <c:axPos val="b"/>
        <c:title>
          <c:tx>
            <c:rich>
              <a:bodyPr/>
              <a:lstStyle/>
              <a:p>
                <a:pPr>
                  <a:defRPr sz="825" b="1" i="0" u="none" strike="noStrike" baseline="0">
                    <a:solidFill>
                      <a:srgbClr val="000000"/>
                    </a:solidFill>
                    <a:latin typeface="Arial"/>
                    <a:ea typeface="Arial"/>
                    <a:cs typeface="Arial"/>
                  </a:defRPr>
                </a:pPr>
                <a:r>
                  <a:rPr lang="en-AU"/>
                  <a:t>Age</a:t>
                </a:r>
              </a:p>
            </c:rich>
          </c:tx>
          <c:layout>
            <c:manualLayout>
              <c:xMode val="edge"/>
              <c:yMode val="edge"/>
              <c:x val="0.50953012703145273"/>
              <c:y val="0.894739297938634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14603728"/>
        <c:crosses val="autoZero"/>
        <c:crossBetween val="midCat"/>
      </c:valAx>
      <c:valAx>
        <c:axId val="214603728"/>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69168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trlProps/ctrlProp1.xml><?xml version="1.0" encoding="utf-8"?>
<formControlPr xmlns="http://schemas.microsoft.com/office/spreadsheetml/2009/9/main" objectType="CheckBox" fmlaLink="$K$15"/>
</file>

<file path=xl/ctrlProps/ctrlProp2.xml><?xml version="1.0" encoding="utf-8"?>
<formControlPr xmlns="http://schemas.microsoft.com/office/spreadsheetml/2009/9/main" objectType="CheckBox" fmlaLink="$I$21"/>
</file>

<file path=xl/ctrlProps/ctrlProp3.xml><?xml version="1.0" encoding="utf-8"?>
<formControlPr xmlns="http://schemas.microsoft.com/office/spreadsheetml/2009/9/main" objectType="CheckBox" fmlaLink="$I$22"/>
</file>

<file path=xl/ctrlProps/ctrlProp4.xml><?xml version="1.0" encoding="utf-8"?>
<formControlPr xmlns="http://schemas.microsoft.com/office/spreadsheetml/2009/9/main" objectType="CheckBox" fmlaLink="$I$28"/>
</file>

<file path=xl/drawings/_rels/drawing1.xml.rels><?xml version="1.0" encoding="UTF-8" standalone="yes"?>
<Relationships xmlns="http://schemas.openxmlformats.org/package/2006/relationships"><Relationship Id="rId1" Type="http://schemas.openxmlformats.org/officeDocument/2006/relationships/hyperlink" Target="#Model!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6772275</xdr:colOff>
      <xdr:row>0</xdr:row>
      <xdr:rowOff>28575</xdr:rowOff>
    </xdr:from>
    <xdr:to>
      <xdr:col>1</xdr:col>
      <xdr:colOff>8229600</xdr:colOff>
      <xdr:row>1</xdr:row>
      <xdr:rowOff>38100</xdr:rowOff>
    </xdr:to>
    <xdr:sp macro="" textlink="">
      <xdr:nvSpPr>
        <xdr:cNvPr id="3" name="TextBox 2">
          <a:hlinkClick xmlns:r="http://schemas.openxmlformats.org/officeDocument/2006/relationships" r:id="rId1"/>
        </xdr:cNvPr>
        <xdr:cNvSpPr txBox="1"/>
      </xdr:nvSpPr>
      <xdr:spPr>
        <a:xfrm>
          <a:off x="7277100" y="28575"/>
          <a:ext cx="1457325" cy="304800"/>
        </a:xfrm>
        <a:prstGeom prst="rect">
          <a:avLst/>
        </a:prstGeom>
        <a:solidFill>
          <a:schemeClr val="accent2">
            <a:lumMod val="75000"/>
          </a:schemeClr>
        </a:solidFill>
        <a:ln w="9525" cmpd="sng">
          <a:solidFill>
            <a:schemeClr val="lt1">
              <a:shade val="50000"/>
            </a:schemeClr>
          </a:solidFill>
        </a:ln>
        <a:scene3d>
          <a:camera prst="orthographicFront"/>
          <a:lightRig rig="threePt" dir="t"/>
        </a:scene3d>
        <a:sp3d extrusionH="19050" contourW="12700">
          <a:bevelT w="38100"/>
          <a:bevelB w="19050"/>
          <a:contourClr>
            <a:schemeClr val="accent2">
              <a:lumMod val="60000"/>
              <a:lumOff val="40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rPr>
            <a:t>Go to model</a:t>
          </a:r>
        </a:p>
      </xdr:txBody>
    </xdr:sp>
    <xdr:clientData/>
  </xdr:twoCellAnchor>
  <xdr:twoCellAnchor>
    <xdr:from>
      <xdr:col>1</xdr:col>
      <xdr:colOff>6686550</xdr:colOff>
      <xdr:row>50</xdr:row>
      <xdr:rowOff>47625</xdr:rowOff>
    </xdr:from>
    <xdr:to>
      <xdr:col>1</xdr:col>
      <xdr:colOff>8143875</xdr:colOff>
      <xdr:row>51</xdr:row>
      <xdr:rowOff>114300</xdr:rowOff>
    </xdr:to>
    <xdr:sp macro="" textlink="">
      <xdr:nvSpPr>
        <xdr:cNvPr id="6" name="TextBox 5">
          <a:hlinkClick xmlns:r="http://schemas.openxmlformats.org/officeDocument/2006/relationships" r:id="rId1"/>
        </xdr:cNvPr>
        <xdr:cNvSpPr txBox="1"/>
      </xdr:nvSpPr>
      <xdr:spPr>
        <a:xfrm>
          <a:off x="7191375" y="15268575"/>
          <a:ext cx="1457325" cy="304800"/>
        </a:xfrm>
        <a:prstGeom prst="rect">
          <a:avLst/>
        </a:prstGeom>
        <a:solidFill>
          <a:schemeClr val="accent2">
            <a:lumMod val="75000"/>
          </a:schemeClr>
        </a:solidFill>
        <a:ln w="9525" cmpd="sng">
          <a:solidFill>
            <a:schemeClr val="lt1">
              <a:shade val="50000"/>
            </a:schemeClr>
          </a:solidFill>
        </a:ln>
        <a:scene3d>
          <a:camera prst="orthographicFront"/>
          <a:lightRig rig="threePt" dir="t"/>
        </a:scene3d>
        <a:sp3d extrusionH="19050" contourW="12700">
          <a:bevelT w="38100"/>
          <a:bevelB w="19050"/>
          <a:contourClr>
            <a:schemeClr val="accent2">
              <a:lumMod val="60000"/>
              <a:lumOff val="40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rPr>
            <a:t>Go to model</a:t>
          </a:r>
        </a:p>
      </xdr:txBody>
    </xdr:sp>
    <xdr:clientData/>
  </xdr:twoCellAnchor>
  <xdr:twoCellAnchor>
    <xdr:from>
      <xdr:col>1</xdr:col>
      <xdr:colOff>6677025</xdr:colOff>
      <xdr:row>34</xdr:row>
      <xdr:rowOff>619125</xdr:rowOff>
    </xdr:from>
    <xdr:to>
      <xdr:col>1</xdr:col>
      <xdr:colOff>8134350</xdr:colOff>
      <xdr:row>36</xdr:row>
      <xdr:rowOff>47625</xdr:rowOff>
    </xdr:to>
    <xdr:sp macro="" textlink="">
      <xdr:nvSpPr>
        <xdr:cNvPr id="7" name="TextBox 6">
          <a:hlinkClick xmlns:r="http://schemas.openxmlformats.org/officeDocument/2006/relationships" r:id="rId1"/>
        </xdr:cNvPr>
        <xdr:cNvSpPr txBox="1"/>
      </xdr:nvSpPr>
      <xdr:spPr>
        <a:xfrm>
          <a:off x="7181850" y="10496550"/>
          <a:ext cx="1457325" cy="304800"/>
        </a:xfrm>
        <a:prstGeom prst="rect">
          <a:avLst/>
        </a:prstGeom>
        <a:solidFill>
          <a:schemeClr val="accent2">
            <a:lumMod val="75000"/>
          </a:schemeClr>
        </a:solidFill>
        <a:ln w="9525" cmpd="sng">
          <a:solidFill>
            <a:schemeClr val="lt1">
              <a:shade val="50000"/>
            </a:schemeClr>
          </a:solidFill>
        </a:ln>
        <a:scene3d>
          <a:camera prst="orthographicFront"/>
          <a:lightRig rig="threePt" dir="t"/>
        </a:scene3d>
        <a:sp3d extrusionH="19050" contourW="12700">
          <a:bevelT w="38100"/>
          <a:bevelB w="19050"/>
          <a:contourClr>
            <a:schemeClr val="accent2">
              <a:lumMod val="60000"/>
              <a:lumOff val="40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chemeClr val="bg1"/>
              </a:solidFill>
            </a:rPr>
            <a:t>Go to model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41</xdr:row>
      <xdr:rowOff>123825</xdr:rowOff>
    </xdr:from>
    <xdr:to>
      <xdr:col>7</xdr:col>
      <xdr:colOff>9525</xdr:colOff>
      <xdr:row>61</xdr:row>
      <xdr:rowOff>152400</xdr:rowOff>
    </xdr:to>
    <xdr:graphicFrame macro="">
      <xdr:nvGraphicFramePr>
        <xdr:cNvPr id="215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137160</xdr:colOff>
          <xdr:row>14</xdr:row>
          <xdr:rowOff>0</xdr:rowOff>
        </xdr:from>
        <xdr:to>
          <xdr:col>2</xdr:col>
          <xdr:colOff>441960</xdr:colOff>
          <xdr:row>15</xdr:row>
          <xdr:rowOff>60960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19</xdr:row>
          <xdr:rowOff>152400</xdr:rowOff>
        </xdr:from>
        <xdr:to>
          <xdr:col>4</xdr:col>
          <xdr:colOff>106680</xdr:colOff>
          <xdr:row>21</xdr:row>
          <xdr:rowOff>38100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20</xdr:row>
          <xdr:rowOff>152400</xdr:rowOff>
        </xdr:from>
        <xdr:to>
          <xdr:col>2</xdr:col>
          <xdr:colOff>480060</xdr:colOff>
          <xdr:row>22</xdr:row>
          <xdr:rowOff>45720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137160</xdr:rowOff>
        </xdr:from>
        <xdr:to>
          <xdr:col>2</xdr:col>
          <xdr:colOff>487680</xdr:colOff>
          <xdr:row>28</xdr:row>
          <xdr:rowOff>30480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0.11322</cdr:x>
      <cdr:y>0.68084</cdr:y>
    </cdr:from>
    <cdr:to>
      <cdr:x>0.86795</cdr:x>
      <cdr:y>0.72743</cdr:y>
    </cdr:to>
    <cdr:sp macro="" textlink="">
      <cdr:nvSpPr>
        <cdr:cNvPr id="12289" name="Text Box 1"/>
        <cdr:cNvSpPr txBox="1">
          <a:spLocks xmlns:a="http://schemas.openxmlformats.org/drawingml/2006/main" noChangeArrowheads="1"/>
        </cdr:cNvSpPr>
      </cdr:nvSpPr>
      <cdr:spPr bwMode="auto">
        <a:xfrm xmlns:a="http://schemas.openxmlformats.org/drawingml/2006/main">
          <a:off x="849795" y="2224355"/>
          <a:ext cx="5664756" cy="1522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AU" sz="825" b="0" i="0" u="none" strike="noStrike" baseline="0">
              <a:solidFill>
                <a:srgbClr val="000000"/>
              </a:solidFill>
              <a:latin typeface="Arial"/>
              <a:cs typeface="Arial"/>
            </a:rPr>
            <a:t>In a well-functioning annuity market, where longevity risk is borne by the annuity institution, annuity continues until death.</a:t>
          </a:r>
          <a:endParaRPr lang="en-AU"/>
        </a:p>
      </cdr:txBody>
    </cdr:sp>
  </cdr:relSizeAnchor>
</c:userShapes>
</file>

<file path=xl/drawings/drawing4.xml><?xml version="1.0" encoding="utf-8"?>
<xdr:wsDr xmlns:xdr="http://schemas.openxmlformats.org/drawingml/2006/spreadsheetDrawing" xmlns:a="http://schemas.openxmlformats.org/drawingml/2006/main">
  <xdr:twoCellAnchor>
    <xdr:from>
      <xdr:col>13</xdr:col>
      <xdr:colOff>123825</xdr:colOff>
      <xdr:row>39</xdr:row>
      <xdr:rowOff>104775</xdr:rowOff>
    </xdr:from>
    <xdr:to>
      <xdr:col>25</xdr:col>
      <xdr:colOff>304800</xdr:colOff>
      <xdr:row>59</xdr:row>
      <xdr:rowOff>123825</xdr:rowOff>
    </xdr:to>
    <xdr:graphicFrame macro="">
      <xdr:nvGraphicFramePr>
        <xdr:cNvPr id="31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0.11322</cdr:x>
      <cdr:y>0.67669</cdr:y>
    </cdr:from>
    <cdr:to>
      <cdr:x>0.86891</cdr:x>
      <cdr:y>0.72342</cdr:y>
    </cdr:to>
    <cdr:sp macro="" textlink="">
      <cdr:nvSpPr>
        <cdr:cNvPr id="11265" name="Text Box 1"/>
        <cdr:cNvSpPr txBox="1">
          <a:spLocks xmlns:a="http://schemas.openxmlformats.org/drawingml/2006/main" noChangeArrowheads="1"/>
        </cdr:cNvSpPr>
      </cdr:nvSpPr>
      <cdr:spPr bwMode="auto">
        <a:xfrm xmlns:a="http://schemas.openxmlformats.org/drawingml/2006/main">
          <a:off x="848717" y="2204352"/>
          <a:ext cx="5664756" cy="1522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AU" sz="825" b="0" i="0" u="none" strike="noStrike" baseline="0">
              <a:solidFill>
                <a:srgbClr val="000000"/>
              </a:solidFill>
              <a:latin typeface="Arial"/>
              <a:cs typeface="Arial"/>
            </a:rPr>
            <a:t>In a well-functioning annuity market, where longevity risk is borne by the annuity institution, annuity continues until death.</a:t>
          </a:r>
          <a:endParaRPr lang="en-AU"/>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to.gov.au/super/" TargetMode="External"/><Relationship Id="rId2" Type="http://schemas.openxmlformats.org/officeDocument/2006/relationships/hyperlink" Target="https://www.moneysmart.gov.au/superannuation-and-retirement/how-super-works" TargetMode="External"/><Relationship Id="rId1" Type="http://schemas.openxmlformats.org/officeDocument/2006/relationships/hyperlink" Target="http://www.industrysuper.com/understand-supe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sx.com.au/documents/resources/russell-asx-long-term-investing-report-2015.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53"/>
  <sheetViews>
    <sheetView showGridLines="0" tabSelected="1" workbookViewId="0"/>
  </sheetViews>
  <sheetFormatPr defaultRowHeight="13.2" x14ac:dyDescent="0.25"/>
  <cols>
    <col min="1" max="1" width="7.5546875" customWidth="1"/>
    <col min="2" max="2" width="124.6640625" customWidth="1"/>
  </cols>
  <sheetData>
    <row r="1" spans="1:2" ht="23.4" x14ac:dyDescent="0.45">
      <c r="A1" s="41" t="s">
        <v>99</v>
      </c>
    </row>
    <row r="3" spans="1:2" ht="18" x14ac:dyDescent="0.25">
      <c r="B3" s="42" t="s">
        <v>119</v>
      </c>
    </row>
    <row r="4" spans="1:2" ht="12.75" customHeight="1" x14ac:dyDescent="0.25"/>
    <row r="5" spans="1:2" ht="37.5" customHeight="1" x14ac:dyDescent="0.25">
      <c r="B5" s="43" t="s">
        <v>100</v>
      </c>
    </row>
    <row r="6" spans="1:2" ht="12.75" customHeight="1" x14ac:dyDescent="0.25">
      <c r="B6" s="42"/>
    </row>
    <row r="7" spans="1:2" ht="18" x14ac:dyDescent="0.35">
      <c r="B7" s="44" t="s">
        <v>120</v>
      </c>
    </row>
    <row r="9" spans="1:2" ht="37.5" customHeight="1" x14ac:dyDescent="0.35">
      <c r="B9" s="45" t="s">
        <v>101</v>
      </c>
    </row>
    <row r="11" spans="1:2" ht="54" x14ac:dyDescent="0.35">
      <c r="B11" s="46" t="s">
        <v>121</v>
      </c>
    </row>
    <row r="13" spans="1:2" ht="18" x14ac:dyDescent="0.35">
      <c r="A13" s="50" t="s">
        <v>102</v>
      </c>
    </row>
    <row r="15" spans="1:2" ht="36" x14ac:dyDescent="0.35">
      <c r="B15" s="46" t="s">
        <v>122</v>
      </c>
    </row>
    <row r="17" spans="2:2" ht="18" x14ac:dyDescent="0.35">
      <c r="B17" s="47" t="s">
        <v>103</v>
      </c>
    </row>
    <row r="19" spans="2:2" ht="18" x14ac:dyDescent="0.35">
      <c r="B19" s="49" t="s">
        <v>105</v>
      </c>
    </row>
    <row r="21" spans="2:2" ht="18" x14ac:dyDescent="0.35">
      <c r="B21" s="48" t="s">
        <v>104</v>
      </c>
    </row>
    <row r="23" spans="2:2" ht="36" x14ac:dyDescent="0.35">
      <c r="B23" s="48" t="s">
        <v>123</v>
      </c>
    </row>
    <row r="25" spans="2:2" ht="36" x14ac:dyDescent="0.35">
      <c r="B25" s="48" t="s">
        <v>124</v>
      </c>
    </row>
    <row r="27" spans="2:2" ht="36" x14ac:dyDescent="0.35">
      <c r="B27" s="48" t="s">
        <v>125</v>
      </c>
    </row>
    <row r="29" spans="2:2" ht="18" x14ac:dyDescent="0.35">
      <c r="B29" s="49" t="s">
        <v>106</v>
      </c>
    </row>
    <row r="31" spans="2:2" ht="18" x14ac:dyDescent="0.35">
      <c r="B31" s="48" t="s">
        <v>107</v>
      </c>
    </row>
    <row r="33" spans="1:2" ht="18.75" customHeight="1" x14ac:dyDescent="0.35">
      <c r="B33" s="48" t="s">
        <v>108</v>
      </c>
    </row>
    <row r="35" spans="1:2" ht="54" x14ac:dyDescent="0.35">
      <c r="B35" s="48" t="s">
        <v>109</v>
      </c>
    </row>
    <row r="37" spans="1:2" ht="18" x14ac:dyDescent="0.35">
      <c r="A37" s="50" t="s">
        <v>110</v>
      </c>
    </row>
    <row r="39" spans="1:2" ht="37.5" customHeight="1" x14ac:dyDescent="0.35">
      <c r="B39" s="51" t="s">
        <v>111</v>
      </c>
    </row>
    <row r="41" spans="1:2" ht="18" x14ac:dyDescent="0.35">
      <c r="A41" s="50" t="s">
        <v>112</v>
      </c>
    </row>
    <row r="43" spans="1:2" ht="37.5" customHeight="1" x14ac:dyDescent="0.35">
      <c r="B43" s="46" t="s">
        <v>113</v>
      </c>
    </row>
    <row r="45" spans="1:2" ht="72" x14ac:dyDescent="0.35">
      <c r="B45" s="46" t="s">
        <v>126</v>
      </c>
    </row>
    <row r="47" spans="1:2" ht="18.75" customHeight="1" x14ac:dyDescent="0.35">
      <c r="B47" s="46" t="s">
        <v>114</v>
      </c>
    </row>
    <row r="49" spans="2:2" ht="54" x14ac:dyDescent="0.35">
      <c r="B49" s="46" t="s">
        <v>115</v>
      </c>
    </row>
    <row r="51" spans="2:2" ht="18" x14ac:dyDescent="0.35">
      <c r="B51" s="52" t="s">
        <v>116</v>
      </c>
    </row>
    <row r="52" spans="2:2" ht="18" x14ac:dyDescent="0.35">
      <c r="B52" s="52" t="s">
        <v>117</v>
      </c>
    </row>
    <row r="53" spans="2:2" ht="18" x14ac:dyDescent="0.35">
      <c r="B53" s="52" t="s">
        <v>118</v>
      </c>
    </row>
  </sheetData>
  <sheetProtection sheet="1" objects="1" scenarios="1"/>
  <hyperlinks>
    <hyperlink ref="B51" r:id="rId1"/>
    <hyperlink ref="B52" r:id="rId2"/>
    <hyperlink ref="B53" r:id="rId3"/>
  </hyperlinks>
  <pageMargins left="0.7" right="0.7" top="0.75" bottom="0.75" header="0.3" footer="0.3"/>
  <pageSetup paperSize="9" orientation="portrait" horizontalDpi="0" verticalDpi="0"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41"/>
  <sheetViews>
    <sheetView showGridLines="0" zoomScale="130" zoomScaleNormal="130" workbookViewId="0">
      <selection activeCell="C4" sqref="C4"/>
    </sheetView>
  </sheetViews>
  <sheetFormatPr defaultColWidth="9.109375" defaultRowHeight="13.2" x14ac:dyDescent="0.25"/>
  <cols>
    <col min="1" max="1" width="2.33203125" style="15" customWidth="1"/>
    <col min="2" max="2" width="48.33203125" style="15" customWidth="1"/>
    <col min="3" max="3" width="9.109375" style="15"/>
    <col min="4" max="4" width="3.44140625" style="15" customWidth="1"/>
    <col min="5" max="5" width="9.109375" style="15"/>
    <col min="6" max="6" width="36.44140625" style="15" customWidth="1"/>
    <col min="7" max="7" width="5.88671875" style="15" customWidth="1"/>
    <col min="8" max="16384" width="9.109375" style="15"/>
  </cols>
  <sheetData>
    <row r="1" spans="1:11" ht="15.6" x14ac:dyDescent="0.3">
      <c r="A1" s="14" t="s">
        <v>0</v>
      </c>
    </row>
    <row r="3" spans="1:11" x14ac:dyDescent="0.25">
      <c r="B3" s="16" t="s">
        <v>8</v>
      </c>
    </row>
    <row r="4" spans="1:11" x14ac:dyDescent="0.25">
      <c r="B4" s="15" t="s">
        <v>1</v>
      </c>
      <c r="C4" s="22">
        <v>22</v>
      </c>
    </row>
    <row r="5" spans="1:11" x14ac:dyDescent="0.25">
      <c r="B5" s="15" t="s">
        <v>58</v>
      </c>
      <c r="C5" s="22">
        <v>65</v>
      </c>
    </row>
    <row r="6" spans="1:11" x14ac:dyDescent="0.25">
      <c r="B6" s="15" t="s">
        <v>2</v>
      </c>
      <c r="C6" s="22">
        <v>50</v>
      </c>
    </row>
    <row r="7" spans="1:11" x14ac:dyDescent="0.25">
      <c r="B7" s="15" t="s">
        <v>3</v>
      </c>
      <c r="C7" s="22">
        <v>130</v>
      </c>
    </row>
    <row r="9" spans="1:11" x14ac:dyDescent="0.25">
      <c r="B9" s="15" t="s">
        <v>18</v>
      </c>
      <c r="C9" s="22">
        <v>25</v>
      </c>
      <c r="E9" s="15" t="s">
        <v>44</v>
      </c>
    </row>
    <row r="10" spans="1:11" x14ac:dyDescent="0.25">
      <c r="B10" s="15" t="s">
        <v>19</v>
      </c>
      <c r="C10" s="22">
        <v>0</v>
      </c>
      <c r="E10" s="15" t="s">
        <v>49</v>
      </c>
    </row>
    <row r="11" spans="1:11" x14ac:dyDescent="0.25">
      <c r="B11" s="15" t="s">
        <v>20</v>
      </c>
      <c r="C11" s="23">
        <v>0.2</v>
      </c>
    </row>
    <row r="12" spans="1:11" x14ac:dyDescent="0.25">
      <c r="C12" s="26"/>
    </row>
    <row r="13" spans="1:11" x14ac:dyDescent="0.25">
      <c r="B13" s="15" t="s">
        <v>57</v>
      </c>
      <c r="C13" s="27">
        <v>22</v>
      </c>
      <c r="E13" s="15" t="s">
        <v>90</v>
      </c>
    </row>
    <row r="14" spans="1:11" x14ac:dyDescent="0.25">
      <c r="B14" s="15" t="s">
        <v>55</v>
      </c>
      <c r="C14" s="28">
        <v>0</v>
      </c>
      <c r="E14" s="15" t="s">
        <v>89</v>
      </c>
    </row>
    <row r="15" spans="1:11" x14ac:dyDescent="0.25">
      <c r="B15" s="15" t="s">
        <v>69</v>
      </c>
      <c r="C15" s="34"/>
      <c r="E15" s="15" t="str">
        <f>IF(Concessional,"If made as tax deductible contribution must be &lt;$30 K, $35K allowed if &gt; 49","")</f>
        <v/>
      </c>
      <c r="K15" s="35" t="b">
        <v>0</v>
      </c>
    </row>
    <row r="17" spans="2:9" x14ac:dyDescent="0.25">
      <c r="B17" s="16" t="s">
        <v>4</v>
      </c>
    </row>
    <row r="18" spans="2:9" x14ac:dyDescent="0.25">
      <c r="B18" s="15" t="s">
        <v>5</v>
      </c>
      <c r="C18" s="24">
        <v>9.5000000000000001E-2</v>
      </c>
      <c r="E18" s="15" t="s">
        <v>91</v>
      </c>
    </row>
    <row r="19" spans="2:9" x14ac:dyDescent="0.25">
      <c r="B19" s="15" t="s">
        <v>6</v>
      </c>
      <c r="C19" s="24">
        <v>0.15</v>
      </c>
    </row>
    <row r="20" spans="2:9" x14ac:dyDescent="0.25">
      <c r="B20" s="15" t="s">
        <v>7</v>
      </c>
      <c r="C20" s="24">
        <v>0.15</v>
      </c>
    </row>
    <row r="21" spans="2:9" x14ac:dyDescent="0.25">
      <c r="B21" s="17" t="s">
        <v>83</v>
      </c>
      <c r="E21" s="17" t="s">
        <v>93</v>
      </c>
      <c r="I21" s="35" t="b">
        <v>0</v>
      </c>
    </row>
    <row r="22" spans="2:9" x14ac:dyDescent="0.25">
      <c r="B22" s="15" t="s">
        <v>71</v>
      </c>
      <c r="E22" s="17" t="s">
        <v>88</v>
      </c>
      <c r="I22" s="35" t="b">
        <v>0</v>
      </c>
    </row>
    <row r="24" spans="2:9" x14ac:dyDescent="0.25">
      <c r="B24" s="16" t="s">
        <v>12</v>
      </c>
    </row>
    <row r="25" spans="2:9" x14ac:dyDescent="0.25">
      <c r="B25" s="17" t="s">
        <v>76</v>
      </c>
      <c r="C25" s="24">
        <v>0.05</v>
      </c>
      <c r="E25" s="15" t="s">
        <v>65</v>
      </c>
    </row>
    <row r="26" spans="2:9" x14ac:dyDescent="0.25">
      <c r="B26" s="15" t="s">
        <v>10</v>
      </c>
      <c r="C26" s="24">
        <v>8.0000000000000002E-3</v>
      </c>
      <c r="E26" s="15" t="s">
        <v>97</v>
      </c>
    </row>
    <row r="27" spans="2:9" x14ac:dyDescent="0.25">
      <c r="B27" s="15" t="s">
        <v>9</v>
      </c>
      <c r="C27" s="25">
        <v>200</v>
      </c>
      <c r="E27" s="15" t="s">
        <v>66</v>
      </c>
    </row>
    <row r="28" spans="2:9" x14ac:dyDescent="0.25">
      <c r="B28" s="15" t="s">
        <v>84</v>
      </c>
      <c r="E28" s="15" t="s">
        <v>67</v>
      </c>
      <c r="I28" s="35" t="b">
        <v>0</v>
      </c>
    </row>
    <row r="29" spans="2:9" x14ac:dyDescent="0.25">
      <c r="B29" s="17" t="s">
        <v>85</v>
      </c>
      <c r="C29" s="28">
        <v>300</v>
      </c>
      <c r="E29" s="15" t="s">
        <v>87</v>
      </c>
    </row>
    <row r="30" spans="2:9" x14ac:dyDescent="0.25">
      <c r="B30" s="17" t="s">
        <v>86</v>
      </c>
      <c r="C30" s="25">
        <v>3000</v>
      </c>
    </row>
    <row r="32" spans="2:9" x14ac:dyDescent="0.25">
      <c r="B32" s="16" t="s">
        <v>11</v>
      </c>
    </row>
    <row r="33" spans="2:7" x14ac:dyDescent="0.25">
      <c r="B33" s="15" t="str">
        <f>"Accumulation at age " &amp;TEXT(Finage,"##") &amp;" $'000"</f>
        <v>Accumulation at age 65 $'000</v>
      </c>
      <c r="C33" s="19">
        <f>VLOOKUP(Finage,Workmatrix,18)</f>
        <v>627.07491437425426</v>
      </c>
    </row>
    <row r="34" spans="2:7" x14ac:dyDescent="0.25">
      <c r="B34" s="15" t="str">
        <f>"Years of life expectancy at age " &amp;TEXT(Finage,"##")</f>
        <v>Years of life expectancy at age 65</v>
      </c>
      <c r="C34" s="39">
        <f>VLOOKUP(Finage,Liftab,4)</f>
        <v>20.55</v>
      </c>
      <c r="E34" s="15" t="str">
        <f>"Average of " &amp;TEXT(VLOOKUP(Finage,Liftab,2),"##.#") &amp; " years male, "&amp;TEXT(VLOOKUP(Finage,Liftab,3),"##.#") &amp; " years female, "</f>
        <v xml:space="preserve">Average of 19.1 years male, 22. years female, </v>
      </c>
    </row>
    <row r="35" spans="2:7" x14ac:dyDescent="0.25">
      <c r="B35" s="15" t="str">
        <f>"Annuity income over " &amp;TEXT(INT(C34),"##") &amp;" years, $'000"</f>
        <v>Annuity income over 20 years, $'000</v>
      </c>
      <c r="C35" s="39">
        <f>(C33*(Earn-Perfees)/(1-1/(1+Earn-Perfees)^(INT(Yrsann))))-Fixfees/1000</f>
        <v>46.762112668271676</v>
      </c>
      <c r="E35" s="15" t="s">
        <v>33</v>
      </c>
    </row>
    <row r="36" spans="2:7" x14ac:dyDescent="0.25">
      <c r="C36" s="18"/>
    </row>
    <row r="37" spans="2:7" x14ac:dyDescent="0.25">
      <c r="B37" s="15" t="str">
        <f>"Annuity income as % of lifetime average salary of $"&amp;TEXT(Averinc*1000,"## #")</f>
        <v>Annuity income as % of lifetime average salary of $9000 0</v>
      </c>
      <c r="C37" s="20">
        <f>Anny/Averinc</f>
        <v>0.51957902964746316</v>
      </c>
      <c r="E37" s="15" t="s">
        <v>45</v>
      </c>
    </row>
    <row r="38" spans="2:7" x14ac:dyDescent="0.25">
      <c r="B38" s="15" t="str">
        <f>"Annuity income as % of final gross salary of $ " &amp;TEXT(Finsal,"##") &amp;" 000"</f>
        <v>Annuity income as % of final gross salary of $ 130 000</v>
      </c>
      <c r="C38" s="20">
        <f>Anny/Finsal</f>
        <v>0.35970855898670523</v>
      </c>
    </row>
    <row r="39" spans="2:7" x14ac:dyDescent="0.25">
      <c r="B39" s="15" t="str">
        <f>"Annuity income as % of final net salary of $ " &amp;TEXT(Finnet,"## #")</f>
        <v>Annuity income as % of final net salary of $ 9166 8</v>
      </c>
      <c r="C39" s="20">
        <f>Anny/(Finnet/1000)</f>
        <v>0.5101247182034262</v>
      </c>
      <c r="E39" s="17" t="s">
        <v>92</v>
      </c>
    </row>
    <row r="40" spans="2:7" x14ac:dyDescent="0.25">
      <c r="B40" s="15" t="s">
        <v>46</v>
      </c>
      <c r="C40" s="21">
        <f>Anny/G40</f>
        <v>0.55045378590842897</v>
      </c>
      <c r="E40" s="17" t="s">
        <v>127</v>
      </c>
      <c r="G40" s="18">
        <f>(1628.1*365.25/7)/1000</f>
        <v>84.951932142857146</v>
      </c>
    </row>
    <row r="41" spans="2:7" x14ac:dyDescent="0.25">
      <c r="E41" s="17" t="s">
        <v>128</v>
      </c>
      <c r="G41" s="18">
        <f>(1191.5*365.25/7)/1000</f>
        <v>62.170767857142856</v>
      </c>
    </row>
  </sheetData>
  <phoneticPr fontId="5" type="noConversion"/>
  <dataValidations count="2">
    <dataValidation type="whole" allowBlank="1" showErrorMessage="1" error="Must be &lt; or equal to finishing afe" prompt="Must be less than ual to finiing afe" sqref="C13">
      <formula1>Commage</formula1>
      <formula2>Finage</formula2>
    </dataValidation>
    <dataValidation type="whole" errorStyle="warning" allowBlank="1" showInputMessage="1" showErrorMessage="1" error="Preservation age is increasing; do not enter an age less than 60. You may go to an age higher than 65, but the model may crash at very high ages.  The model is not set up for TRAP arrangements." sqref="C5">
      <formula1>60</formula1>
      <formula2>70</formula2>
    </dataValidation>
  </dataValidations>
  <pageMargins left="0.75" right="0.75" top="1" bottom="1" header="0.5" footer="0.5"/>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locked="0" defaultSize="0" autoFill="0" autoLine="0" autoPict="0">
                <anchor moveWithCells="1">
                  <from>
                    <xdr:col>2</xdr:col>
                    <xdr:colOff>137160</xdr:colOff>
                    <xdr:row>14</xdr:row>
                    <xdr:rowOff>0</xdr:rowOff>
                  </from>
                  <to>
                    <xdr:col>2</xdr:col>
                    <xdr:colOff>441960</xdr:colOff>
                    <xdr:row>15</xdr:row>
                    <xdr:rowOff>60960</xdr:rowOff>
                  </to>
                </anchor>
              </controlPr>
            </control>
          </mc:Choice>
        </mc:AlternateContent>
        <mc:AlternateContent xmlns:mc="http://schemas.openxmlformats.org/markup-compatibility/2006">
          <mc:Choice Requires="x14">
            <control shapeId="2057" r:id="rId5" name="Check Box 9">
              <controlPr locked="0" defaultSize="0" autoFill="0" autoLine="0" autoPict="0">
                <anchor moveWithCells="1">
                  <from>
                    <xdr:col>2</xdr:col>
                    <xdr:colOff>160020</xdr:colOff>
                    <xdr:row>19</xdr:row>
                    <xdr:rowOff>152400</xdr:rowOff>
                  </from>
                  <to>
                    <xdr:col>4</xdr:col>
                    <xdr:colOff>106680</xdr:colOff>
                    <xdr:row>21</xdr:row>
                    <xdr:rowOff>38100</xdr:rowOff>
                  </to>
                </anchor>
              </controlPr>
            </control>
          </mc:Choice>
        </mc:AlternateContent>
        <mc:AlternateContent xmlns:mc="http://schemas.openxmlformats.org/markup-compatibility/2006">
          <mc:Choice Requires="x14">
            <control shapeId="2058" r:id="rId6" name="Check Box 10">
              <controlPr locked="0" defaultSize="0" autoFill="0" autoLine="0" autoPict="0">
                <anchor moveWithCells="1">
                  <from>
                    <xdr:col>2</xdr:col>
                    <xdr:colOff>160020</xdr:colOff>
                    <xdr:row>20</xdr:row>
                    <xdr:rowOff>152400</xdr:rowOff>
                  </from>
                  <to>
                    <xdr:col>2</xdr:col>
                    <xdr:colOff>480060</xdr:colOff>
                    <xdr:row>22</xdr:row>
                    <xdr:rowOff>45720</xdr:rowOff>
                  </to>
                </anchor>
              </controlPr>
            </control>
          </mc:Choice>
        </mc:AlternateContent>
        <mc:AlternateContent xmlns:mc="http://schemas.openxmlformats.org/markup-compatibility/2006">
          <mc:Choice Requires="x14">
            <control shapeId="2091" r:id="rId7" name="Check Box 43">
              <controlPr locked="0" defaultSize="0" autoFill="0" autoLine="0" autoPict="0">
                <anchor moveWithCells="1">
                  <from>
                    <xdr:col>2</xdr:col>
                    <xdr:colOff>175260</xdr:colOff>
                    <xdr:row>26</xdr:row>
                    <xdr:rowOff>137160</xdr:rowOff>
                  </from>
                  <to>
                    <xdr:col>2</xdr:col>
                    <xdr:colOff>487680</xdr:colOff>
                    <xdr:row>28</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9"/>
  <sheetViews>
    <sheetView showGridLines="0" topLeftCell="A26" workbookViewId="0">
      <selection activeCell="R49" sqref="R49"/>
    </sheetView>
  </sheetViews>
  <sheetFormatPr defaultRowHeight="13.2" x14ac:dyDescent="0.25"/>
  <cols>
    <col min="1" max="1" width="3.5546875" customWidth="1"/>
    <col min="11" max="11" width="5.33203125" customWidth="1"/>
  </cols>
  <sheetData>
    <row r="1" spans="1:20" ht="15.6" x14ac:dyDescent="0.3">
      <c r="A1" s="2" t="s">
        <v>13</v>
      </c>
    </row>
    <row r="2" spans="1:20" ht="15.6" x14ac:dyDescent="0.3">
      <c r="A2" s="2"/>
    </row>
    <row r="3" spans="1:20" x14ac:dyDescent="0.25">
      <c r="C3" s="13" t="s">
        <v>72</v>
      </c>
      <c r="D3" s="13"/>
      <c r="E3" s="13"/>
      <c r="F3" s="13"/>
      <c r="G3" s="13"/>
      <c r="H3" s="13"/>
      <c r="I3" s="13"/>
      <c r="J3" s="13"/>
      <c r="L3" s="13" t="s">
        <v>73</v>
      </c>
      <c r="M3" s="13"/>
      <c r="N3" s="13"/>
      <c r="O3" s="13"/>
      <c r="P3" s="13"/>
      <c r="Q3" s="13"/>
      <c r="R3" s="13"/>
      <c r="S3" s="13"/>
    </row>
    <row r="4" spans="1:20" ht="30.6" x14ac:dyDescent="0.25">
      <c r="B4" s="12" t="s">
        <v>14</v>
      </c>
      <c r="C4" s="12" t="s">
        <v>21</v>
      </c>
      <c r="D4" s="12" t="s">
        <v>15</v>
      </c>
      <c r="E4" s="12" t="s">
        <v>16</v>
      </c>
      <c r="F4" s="12" t="s">
        <v>17</v>
      </c>
      <c r="G4" s="12" t="s">
        <v>74</v>
      </c>
      <c r="H4" s="12" t="s">
        <v>6</v>
      </c>
      <c r="I4" s="12" t="s">
        <v>70</v>
      </c>
      <c r="J4" s="12" t="s">
        <v>47</v>
      </c>
      <c r="K4" s="12"/>
      <c r="L4" s="12" t="s">
        <v>22</v>
      </c>
      <c r="M4" s="12" t="s">
        <v>23</v>
      </c>
      <c r="N4" s="12" t="s">
        <v>26</v>
      </c>
      <c r="O4" s="12" t="s">
        <v>56</v>
      </c>
      <c r="P4" s="12" t="s">
        <v>24</v>
      </c>
      <c r="Q4" s="12" t="s">
        <v>25</v>
      </c>
      <c r="R4" s="12" t="s">
        <v>7</v>
      </c>
      <c r="S4" s="12" t="s">
        <v>27</v>
      </c>
      <c r="T4" s="12"/>
    </row>
    <row r="5" spans="1:20" x14ac:dyDescent="0.25">
      <c r="B5">
        <f>Commage</f>
        <v>22</v>
      </c>
      <c r="C5" s="3">
        <f t="shared" ref="C5:C36" si="0">IF(B5&lt;=Finage,1-(IF(B5&lt;Breakage,0,1)*IF(B5&gt;(Breakage+Breakyrs-1),0,1-Breakfrac)),0)</f>
        <v>1</v>
      </c>
      <c r="D5" s="3">
        <f t="shared" ref="D5:D36" si="1">Commsal+((Finsal-Commsal)*(B5-Commage)/(Finage-Commage))</f>
        <v>50</v>
      </c>
      <c r="E5" s="3">
        <f>D5*C5</f>
        <v>50</v>
      </c>
      <c r="F5" s="3">
        <f t="shared" ref="F5:F36" si="2">E5*SGLrate</f>
        <v>4.75</v>
      </c>
      <c r="G5" s="3">
        <f t="shared" ref="G5:G36" si="3">(IF(Cocont,IF(E5&lt;50.454,IF(E5&lt;35.454,0.5,0.5-(E5-35.454)/35.454),0),0))*C5*2</f>
        <v>0</v>
      </c>
      <c r="H5" s="3">
        <f t="shared" ref="H5:H36" si="4">-F5*Conttax-IF(Concessional,O5*0.15)</f>
        <v>-0.71250000000000002</v>
      </c>
      <c r="I5" s="3">
        <f t="shared" ref="I5:I36" si="5">IF(Rudd500,IF(E5&lt;=37,IF(-H5&gt;0.5,0.5,-H5),0),0)</f>
        <v>0</v>
      </c>
      <c r="J5" s="3">
        <f>F5+G5+H5+I5</f>
        <v>4.0374999999999996</v>
      </c>
      <c r="L5" s="3">
        <v>0</v>
      </c>
      <c r="M5" s="3">
        <f t="shared" ref="M5:M36" si="6">L5*Earn</f>
        <v>0</v>
      </c>
      <c r="N5" s="3">
        <f>J5</f>
        <v>4.0374999999999996</v>
      </c>
      <c r="O5" s="3">
        <f t="shared" ref="O5:O36" si="7">IF(B5=Lumpage, Lumpsum,0)</f>
        <v>0</v>
      </c>
      <c r="P5" s="3">
        <f>-L5*Perfees</f>
        <v>0</v>
      </c>
      <c r="Q5" s="3">
        <f>-Fixfees/1000</f>
        <v>-0.2</v>
      </c>
      <c r="R5" s="3">
        <f t="shared" ref="R5:R36" si="8">-M5*Earntax</f>
        <v>0</v>
      </c>
      <c r="S5" s="3">
        <f>L5+M5+N5+O5+P5+Q5+R5</f>
        <v>3.8374999999999995</v>
      </c>
    </row>
    <row r="6" spans="1:20" x14ac:dyDescent="0.25">
      <c r="B6">
        <f>B5+1</f>
        <v>23</v>
      </c>
      <c r="C6" s="3">
        <f t="shared" si="0"/>
        <v>1</v>
      </c>
      <c r="D6" s="3">
        <f t="shared" si="1"/>
        <v>51.860465116279073</v>
      </c>
      <c r="E6" s="3">
        <f t="shared" ref="E6:E58" si="9">D6*C6</f>
        <v>51.860465116279073</v>
      </c>
      <c r="F6" s="3">
        <f t="shared" si="2"/>
        <v>4.9267441860465118</v>
      </c>
      <c r="G6" s="3">
        <f t="shared" si="3"/>
        <v>0</v>
      </c>
      <c r="H6" s="3">
        <f t="shared" si="4"/>
        <v>-0.73901162790697672</v>
      </c>
      <c r="I6" s="3">
        <f t="shared" si="5"/>
        <v>0</v>
      </c>
      <c r="J6" s="3">
        <f t="shared" ref="J6:J69" si="10">F6+G6+H6+I6</f>
        <v>4.187732558139535</v>
      </c>
      <c r="L6" s="3">
        <f>S5</f>
        <v>3.8374999999999995</v>
      </c>
      <c r="M6" s="3">
        <f t="shared" si="6"/>
        <v>0.19187499999999999</v>
      </c>
      <c r="N6" s="3">
        <f>J6</f>
        <v>4.187732558139535</v>
      </c>
      <c r="O6" s="3">
        <f t="shared" si="7"/>
        <v>0</v>
      </c>
      <c r="P6" s="3">
        <f t="shared" ref="P6:P37" si="11">IF(SMSF,(IF(L6&lt;SMSFthres,-L6*Perfees,0)),-L6*Perfees)</f>
        <v>-3.0699999999999995E-2</v>
      </c>
      <c r="Q6" s="3">
        <f t="shared" ref="Q6:Q37" si="12">IF(SMSF,(IF(L6&lt;SMSFthres,-Fixfees/1000,-SMSFfees/1000)),-Fixfees/1000)</f>
        <v>-0.2</v>
      </c>
      <c r="R6" s="3">
        <f t="shared" si="8"/>
        <v>-2.8781249999999998E-2</v>
      </c>
      <c r="S6" s="3">
        <f t="shared" ref="S6:S69" si="13">L6+M6+N6+O6+P6+Q6+R6</f>
        <v>7.9576263081395355</v>
      </c>
    </row>
    <row r="7" spans="1:20" x14ac:dyDescent="0.25">
      <c r="B7">
        <f t="shared" ref="B7:B58" si="14">B6+1</f>
        <v>24</v>
      </c>
      <c r="C7" s="3">
        <f t="shared" si="0"/>
        <v>1</v>
      </c>
      <c r="D7" s="3">
        <f t="shared" si="1"/>
        <v>53.720930232558139</v>
      </c>
      <c r="E7" s="3">
        <f t="shared" si="9"/>
        <v>53.720930232558139</v>
      </c>
      <c r="F7" s="3">
        <f t="shared" si="2"/>
        <v>5.1034883720930235</v>
      </c>
      <c r="G7" s="3">
        <f t="shared" si="3"/>
        <v>0</v>
      </c>
      <c r="H7" s="3">
        <f t="shared" si="4"/>
        <v>-0.76552325581395353</v>
      </c>
      <c r="I7" s="3">
        <f t="shared" si="5"/>
        <v>0</v>
      </c>
      <c r="J7" s="3">
        <f t="shared" si="10"/>
        <v>4.3379651162790704</v>
      </c>
      <c r="L7" s="3">
        <f t="shared" ref="L7:L40" si="15">S6</f>
        <v>7.9576263081395355</v>
      </c>
      <c r="M7" s="3">
        <f t="shared" si="6"/>
        <v>0.3978813154069768</v>
      </c>
      <c r="N7" s="3">
        <f t="shared" ref="N7:N40" si="16">J7</f>
        <v>4.3379651162790704</v>
      </c>
      <c r="O7" s="3">
        <f t="shared" si="7"/>
        <v>0</v>
      </c>
      <c r="P7" s="3">
        <f t="shared" si="11"/>
        <v>-6.3661010465116283E-2</v>
      </c>
      <c r="Q7" s="3">
        <f t="shared" si="12"/>
        <v>-0.2</v>
      </c>
      <c r="R7" s="3">
        <f t="shared" si="8"/>
        <v>-5.9682197311046514E-2</v>
      </c>
      <c r="S7" s="3">
        <f t="shared" si="13"/>
        <v>12.37012953204942</v>
      </c>
    </row>
    <row r="8" spans="1:20" x14ac:dyDescent="0.25">
      <c r="B8">
        <f t="shared" si="14"/>
        <v>25</v>
      </c>
      <c r="C8" s="3">
        <f t="shared" si="0"/>
        <v>1</v>
      </c>
      <c r="D8" s="3">
        <f t="shared" si="1"/>
        <v>55.581395348837212</v>
      </c>
      <c r="E8" s="3">
        <f t="shared" si="9"/>
        <v>55.581395348837212</v>
      </c>
      <c r="F8" s="3">
        <f t="shared" si="2"/>
        <v>5.2802325581395353</v>
      </c>
      <c r="G8" s="3">
        <f t="shared" si="3"/>
        <v>0</v>
      </c>
      <c r="H8" s="3">
        <f t="shared" si="4"/>
        <v>-0.79203488372093023</v>
      </c>
      <c r="I8" s="3">
        <f t="shared" si="5"/>
        <v>0</v>
      </c>
      <c r="J8" s="3">
        <f t="shared" si="10"/>
        <v>4.488197674418605</v>
      </c>
      <c r="L8" s="3">
        <f t="shared" si="15"/>
        <v>12.37012953204942</v>
      </c>
      <c r="M8" s="3">
        <f t="shared" si="6"/>
        <v>0.61850647660247104</v>
      </c>
      <c r="N8" s="3">
        <f t="shared" si="16"/>
        <v>4.488197674418605</v>
      </c>
      <c r="O8" s="3">
        <f t="shared" si="7"/>
        <v>0</v>
      </c>
      <c r="P8" s="3">
        <f t="shared" si="11"/>
        <v>-9.8961036256395365E-2</v>
      </c>
      <c r="Q8" s="3">
        <f t="shared" si="12"/>
        <v>-0.2</v>
      </c>
      <c r="R8" s="3">
        <f t="shared" si="8"/>
        <v>-9.2775971490370659E-2</v>
      </c>
      <c r="S8" s="3">
        <f t="shared" si="13"/>
        <v>17.085096675323729</v>
      </c>
    </row>
    <row r="9" spans="1:20" x14ac:dyDescent="0.25">
      <c r="B9">
        <f t="shared" si="14"/>
        <v>26</v>
      </c>
      <c r="C9" s="3">
        <f t="shared" si="0"/>
        <v>1</v>
      </c>
      <c r="D9" s="3">
        <f t="shared" si="1"/>
        <v>57.441860465116278</v>
      </c>
      <c r="E9" s="3">
        <f t="shared" si="9"/>
        <v>57.441860465116278</v>
      </c>
      <c r="F9" s="3">
        <f t="shared" si="2"/>
        <v>5.4569767441860462</v>
      </c>
      <c r="G9" s="3">
        <f t="shared" si="3"/>
        <v>0</v>
      </c>
      <c r="H9" s="3">
        <f t="shared" si="4"/>
        <v>-0.81854651162790693</v>
      </c>
      <c r="I9" s="3">
        <f t="shared" si="5"/>
        <v>0</v>
      </c>
      <c r="J9" s="3">
        <f t="shared" si="10"/>
        <v>4.6384302325581395</v>
      </c>
      <c r="L9" s="3">
        <f t="shared" si="15"/>
        <v>17.085096675323729</v>
      </c>
      <c r="M9" s="3">
        <f t="shared" si="6"/>
        <v>0.85425483376618649</v>
      </c>
      <c r="N9" s="3">
        <f t="shared" si="16"/>
        <v>4.6384302325581395</v>
      </c>
      <c r="O9" s="3">
        <f t="shared" si="7"/>
        <v>0</v>
      </c>
      <c r="P9" s="3">
        <f t="shared" si="11"/>
        <v>-0.13668077340258983</v>
      </c>
      <c r="Q9" s="3">
        <f t="shared" si="12"/>
        <v>-0.2</v>
      </c>
      <c r="R9" s="3">
        <f t="shared" si="8"/>
        <v>-0.12813822506492797</v>
      </c>
      <c r="S9" s="3">
        <f t="shared" si="13"/>
        <v>22.112962743180542</v>
      </c>
    </row>
    <row r="10" spans="1:20" x14ac:dyDescent="0.25">
      <c r="B10">
        <f t="shared" si="14"/>
        <v>27</v>
      </c>
      <c r="C10" s="3">
        <f t="shared" si="0"/>
        <v>1</v>
      </c>
      <c r="D10" s="3">
        <f t="shared" si="1"/>
        <v>59.302325581395351</v>
      </c>
      <c r="E10" s="3">
        <f t="shared" si="9"/>
        <v>59.302325581395351</v>
      </c>
      <c r="F10" s="3">
        <f t="shared" si="2"/>
        <v>5.6337209302325588</v>
      </c>
      <c r="G10" s="3">
        <f t="shared" si="3"/>
        <v>0</v>
      </c>
      <c r="H10" s="3">
        <f t="shared" si="4"/>
        <v>-0.84505813953488385</v>
      </c>
      <c r="I10" s="3">
        <f t="shared" si="5"/>
        <v>0</v>
      </c>
      <c r="J10" s="3">
        <f t="shared" si="10"/>
        <v>4.7886627906976749</v>
      </c>
      <c r="L10" s="3">
        <f t="shared" si="15"/>
        <v>22.112962743180542</v>
      </c>
      <c r="M10" s="3">
        <f t="shared" si="6"/>
        <v>1.1056481371590272</v>
      </c>
      <c r="N10" s="3">
        <f t="shared" si="16"/>
        <v>4.7886627906976749</v>
      </c>
      <c r="O10" s="3">
        <f t="shared" si="7"/>
        <v>0</v>
      </c>
      <c r="P10" s="3">
        <f t="shared" si="11"/>
        <v>-0.17690370194544433</v>
      </c>
      <c r="Q10" s="3">
        <f t="shared" si="12"/>
        <v>-0.2</v>
      </c>
      <c r="R10" s="3">
        <f t="shared" si="8"/>
        <v>-0.16584722057385407</v>
      </c>
      <c r="S10" s="3">
        <f t="shared" si="13"/>
        <v>27.464522748517943</v>
      </c>
    </row>
    <row r="11" spans="1:20" x14ac:dyDescent="0.25">
      <c r="B11">
        <f t="shared" si="14"/>
        <v>28</v>
      </c>
      <c r="C11" s="3">
        <f t="shared" si="0"/>
        <v>1</v>
      </c>
      <c r="D11" s="3">
        <f t="shared" si="1"/>
        <v>61.162790697674417</v>
      </c>
      <c r="E11" s="3">
        <f t="shared" si="9"/>
        <v>61.162790697674417</v>
      </c>
      <c r="F11" s="3">
        <f t="shared" si="2"/>
        <v>5.8104651162790697</v>
      </c>
      <c r="G11" s="3">
        <f t="shared" si="3"/>
        <v>0</v>
      </c>
      <c r="H11" s="3">
        <f t="shared" si="4"/>
        <v>-0.87156976744186043</v>
      </c>
      <c r="I11" s="3">
        <f t="shared" si="5"/>
        <v>0</v>
      </c>
      <c r="J11" s="3">
        <f t="shared" si="10"/>
        <v>4.9388953488372094</v>
      </c>
      <c r="L11" s="3">
        <f t="shared" si="15"/>
        <v>27.464522748517943</v>
      </c>
      <c r="M11" s="3">
        <f t="shared" si="6"/>
        <v>1.3732261374258972</v>
      </c>
      <c r="N11" s="3">
        <f t="shared" si="16"/>
        <v>4.9388953488372094</v>
      </c>
      <c r="O11" s="3">
        <f t="shared" si="7"/>
        <v>0</v>
      </c>
      <c r="P11" s="3">
        <f t="shared" si="11"/>
        <v>-0.21971618198814355</v>
      </c>
      <c r="Q11" s="3">
        <f t="shared" si="12"/>
        <v>-0.2</v>
      </c>
      <c r="R11" s="3">
        <f t="shared" si="8"/>
        <v>-0.20598392061388457</v>
      </c>
      <c r="S11" s="3">
        <f t="shared" si="13"/>
        <v>33.150944132179021</v>
      </c>
    </row>
    <row r="12" spans="1:20" x14ac:dyDescent="0.25">
      <c r="B12">
        <f t="shared" si="14"/>
        <v>29</v>
      </c>
      <c r="C12" s="3">
        <f t="shared" si="0"/>
        <v>1</v>
      </c>
      <c r="D12" s="3">
        <f t="shared" si="1"/>
        <v>63.02325581395349</v>
      </c>
      <c r="E12" s="3">
        <f t="shared" si="9"/>
        <v>63.02325581395349</v>
      </c>
      <c r="F12" s="3">
        <f t="shared" si="2"/>
        <v>5.9872093023255815</v>
      </c>
      <c r="G12" s="3">
        <f t="shared" si="3"/>
        <v>0</v>
      </c>
      <c r="H12" s="3">
        <f t="shared" si="4"/>
        <v>-0.89808139534883724</v>
      </c>
      <c r="I12" s="3">
        <f t="shared" si="5"/>
        <v>0</v>
      </c>
      <c r="J12" s="3">
        <f t="shared" si="10"/>
        <v>5.0891279069767439</v>
      </c>
      <c r="L12" s="3">
        <f t="shared" si="15"/>
        <v>33.150944132179021</v>
      </c>
      <c r="M12" s="3">
        <f t="shared" si="6"/>
        <v>1.6575472066089512</v>
      </c>
      <c r="N12" s="3">
        <f t="shared" si="16"/>
        <v>5.0891279069767439</v>
      </c>
      <c r="O12" s="3">
        <f t="shared" si="7"/>
        <v>0</v>
      </c>
      <c r="P12" s="3">
        <f t="shared" si="11"/>
        <v>-0.26520755305743215</v>
      </c>
      <c r="Q12" s="3">
        <f t="shared" si="12"/>
        <v>-0.2</v>
      </c>
      <c r="R12" s="3">
        <f t="shared" si="8"/>
        <v>-0.24863208099134265</v>
      </c>
      <c r="S12" s="3">
        <f t="shared" si="13"/>
        <v>39.183779611715941</v>
      </c>
    </row>
    <row r="13" spans="1:20" x14ac:dyDescent="0.25">
      <c r="B13">
        <f t="shared" si="14"/>
        <v>30</v>
      </c>
      <c r="C13" s="3">
        <f t="shared" si="0"/>
        <v>1</v>
      </c>
      <c r="D13" s="3">
        <f t="shared" si="1"/>
        <v>64.883720930232556</v>
      </c>
      <c r="E13" s="3">
        <f t="shared" si="9"/>
        <v>64.883720930232556</v>
      </c>
      <c r="F13" s="3">
        <f t="shared" si="2"/>
        <v>6.1639534883720932</v>
      </c>
      <c r="G13" s="3">
        <f t="shared" si="3"/>
        <v>0</v>
      </c>
      <c r="H13" s="3">
        <f t="shared" si="4"/>
        <v>-0.92459302325581394</v>
      </c>
      <c r="I13" s="3">
        <f t="shared" si="5"/>
        <v>0</v>
      </c>
      <c r="J13" s="3">
        <f t="shared" si="10"/>
        <v>5.2393604651162793</v>
      </c>
      <c r="L13" s="3">
        <f t="shared" si="15"/>
        <v>39.183779611715941</v>
      </c>
      <c r="M13" s="3">
        <f t="shared" si="6"/>
        <v>1.9591889805857972</v>
      </c>
      <c r="N13" s="3">
        <f t="shared" si="16"/>
        <v>5.2393604651162793</v>
      </c>
      <c r="O13" s="3">
        <f t="shared" si="7"/>
        <v>0</v>
      </c>
      <c r="P13" s="3">
        <f t="shared" si="11"/>
        <v>-0.31347023689372755</v>
      </c>
      <c r="Q13" s="3">
        <f t="shared" si="12"/>
        <v>-0.2</v>
      </c>
      <c r="R13" s="3">
        <f t="shared" si="8"/>
        <v>-0.29387834708786958</v>
      </c>
      <c r="S13" s="3">
        <f t="shared" si="13"/>
        <v>45.574980473436419</v>
      </c>
    </row>
    <row r="14" spans="1:20" x14ac:dyDescent="0.25">
      <c r="B14">
        <f t="shared" si="14"/>
        <v>31</v>
      </c>
      <c r="C14" s="3">
        <f t="shared" si="0"/>
        <v>1</v>
      </c>
      <c r="D14" s="3">
        <f t="shared" si="1"/>
        <v>66.744186046511629</v>
      </c>
      <c r="E14" s="3">
        <f t="shared" si="9"/>
        <v>66.744186046511629</v>
      </c>
      <c r="F14" s="3">
        <f t="shared" si="2"/>
        <v>6.340697674418605</v>
      </c>
      <c r="G14" s="3">
        <f t="shared" si="3"/>
        <v>0</v>
      </c>
      <c r="H14" s="3">
        <f t="shared" si="4"/>
        <v>-0.95110465116279075</v>
      </c>
      <c r="I14" s="3">
        <f t="shared" si="5"/>
        <v>0</v>
      </c>
      <c r="J14" s="3">
        <f t="shared" si="10"/>
        <v>5.3895930232558147</v>
      </c>
      <c r="L14" s="3">
        <f t="shared" si="15"/>
        <v>45.574980473436419</v>
      </c>
      <c r="M14" s="3">
        <f t="shared" si="6"/>
        <v>2.2787490236718209</v>
      </c>
      <c r="N14" s="3">
        <f t="shared" si="16"/>
        <v>5.3895930232558147</v>
      </c>
      <c r="O14" s="3">
        <f t="shared" si="7"/>
        <v>0</v>
      </c>
      <c r="P14" s="3">
        <f t="shared" si="11"/>
        <v>-0.36459984378749138</v>
      </c>
      <c r="Q14" s="3">
        <f t="shared" si="12"/>
        <v>-0.2</v>
      </c>
      <c r="R14" s="3">
        <f t="shared" si="8"/>
        <v>-0.34181235355077311</v>
      </c>
      <c r="S14" s="3">
        <f t="shared" si="13"/>
        <v>52.336910323025791</v>
      </c>
    </row>
    <row r="15" spans="1:20" x14ac:dyDescent="0.25">
      <c r="B15">
        <f t="shared" si="14"/>
        <v>32</v>
      </c>
      <c r="C15" s="3">
        <f t="shared" si="0"/>
        <v>1</v>
      </c>
      <c r="D15" s="3">
        <f t="shared" si="1"/>
        <v>68.604651162790702</v>
      </c>
      <c r="E15" s="3">
        <f t="shared" si="9"/>
        <v>68.604651162790702</v>
      </c>
      <c r="F15" s="3">
        <f t="shared" si="2"/>
        <v>6.5174418604651168</v>
      </c>
      <c r="G15" s="3">
        <f t="shared" si="3"/>
        <v>0</v>
      </c>
      <c r="H15" s="3">
        <f t="shared" si="4"/>
        <v>-0.97761627906976745</v>
      </c>
      <c r="I15" s="3">
        <f t="shared" si="5"/>
        <v>0</v>
      </c>
      <c r="J15" s="3">
        <f t="shared" si="10"/>
        <v>5.5398255813953492</v>
      </c>
      <c r="L15" s="3">
        <f t="shared" si="15"/>
        <v>52.336910323025791</v>
      </c>
      <c r="M15" s="3">
        <f t="shared" si="6"/>
        <v>2.6168455161512898</v>
      </c>
      <c r="N15" s="3">
        <f t="shared" si="16"/>
        <v>5.5398255813953492</v>
      </c>
      <c r="O15" s="3">
        <f t="shared" si="7"/>
        <v>0</v>
      </c>
      <c r="P15" s="3">
        <f t="shared" si="11"/>
        <v>-0.41869528258420635</v>
      </c>
      <c r="Q15" s="3">
        <f t="shared" si="12"/>
        <v>-0.2</v>
      </c>
      <c r="R15" s="3">
        <f t="shared" si="8"/>
        <v>-0.39252682742269346</v>
      </c>
      <c r="S15" s="3">
        <f t="shared" si="13"/>
        <v>59.482359310565521</v>
      </c>
    </row>
    <row r="16" spans="1:20" x14ac:dyDescent="0.25">
      <c r="B16">
        <f t="shared" si="14"/>
        <v>33</v>
      </c>
      <c r="C16" s="3">
        <f t="shared" si="0"/>
        <v>1</v>
      </c>
      <c r="D16" s="3">
        <f t="shared" si="1"/>
        <v>70.465116279069775</v>
      </c>
      <c r="E16" s="3">
        <f t="shared" si="9"/>
        <v>70.465116279069775</v>
      </c>
      <c r="F16" s="3">
        <f t="shared" si="2"/>
        <v>6.6941860465116285</v>
      </c>
      <c r="G16" s="3">
        <f t="shared" si="3"/>
        <v>0</v>
      </c>
      <c r="H16" s="3">
        <f t="shared" si="4"/>
        <v>-1.0041279069767441</v>
      </c>
      <c r="I16" s="3">
        <f t="shared" si="5"/>
        <v>0</v>
      </c>
      <c r="J16" s="3">
        <f t="shared" si="10"/>
        <v>5.6900581395348846</v>
      </c>
      <c r="L16" s="3">
        <f t="shared" si="15"/>
        <v>59.482359310565521</v>
      </c>
      <c r="M16" s="3">
        <f t="shared" si="6"/>
        <v>2.9741179655282761</v>
      </c>
      <c r="N16" s="3">
        <f t="shared" si="16"/>
        <v>5.6900581395348846</v>
      </c>
      <c r="O16" s="3">
        <f t="shared" si="7"/>
        <v>0</v>
      </c>
      <c r="P16" s="3">
        <f t="shared" si="11"/>
        <v>-0.47585887448452419</v>
      </c>
      <c r="Q16" s="3">
        <f t="shared" si="12"/>
        <v>-0.2</v>
      </c>
      <c r="R16" s="3">
        <f t="shared" si="8"/>
        <v>-0.44611769482924141</v>
      </c>
      <c r="S16" s="3">
        <f t="shared" si="13"/>
        <v>67.024558846314918</v>
      </c>
    </row>
    <row r="17" spans="2:19" x14ac:dyDescent="0.25">
      <c r="B17">
        <f t="shared" si="14"/>
        <v>34</v>
      </c>
      <c r="C17" s="3">
        <f t="shared" si="0"/>
        <v>1</v>
      </c>
      <c r="D17" s="3">
        <f t="shared" si="1"/>
        <v>72.325581395348834</v>
      </c>
      <c r="E17" s="3">
        <f t="shared" si="9"/>
        <v>72.325581395348834</v>
      </c>
      <c r="F17" s="3">
        <f t="shared" si="2"/>
        <v>6.8709302325581394</v>
      </c>
      <c r="G17" s="3">
        <f t="shared" si="3"/>
        <v>0</v>
      </c>
      <c r="H17" s="3">
        <f t="shared" si="4"/>
        <v>-1.030639534883721</v>
      </c>
      <c r="I17" s="3">
        <f t="shared" si="5"/>
        <v>0</v>
      </c>
      <c r="J17" s="3">
        <f t="shared" si="10"/>
        <v>5.8402906976744182</v>
      </c>
      <c r="L17" s="3">
        <f t="shared" si="15"/>
        <v>67.024558846314918</v>
      </c>
      <c r="M17" s="3">
        <f t="shared" si="6"/>
        <v>3.3512279423157461</v>
      </c>
      <c r="N17" s="3">
        <f t="shared" si="16"/>
        <v>5.8402906976744182</v>
      </c>
      <c r="O17" s="3">
        <f t="shared" si="7"/>
        <v>0</v>
      </c>
      <c r="P17" s="3">
        <f t="shared" si="11"/>
        <v>-0.53619647077051935</v>
      </c>
      <c r="Q17" s="3">
        <f t="shared" si="12"/>
        <v>-0.2</v>
      </c>
      <c r="R17" s="3">
        <f t="shared" si="8"/>
        <v>-0.50268419134736186</v>
      </c>
      <c r="S17" s="3">
        <f t="shared" si="13"/>
        <v>74.977196824187203</v>
      </c>
    </row>
    <row r="18" spans="2:19" x14ac:dyDescent="0.25">
      <c r="B18">
        <f t="shared" si="14"/>
        <v>35</v>
      </c>
      <c r="C18" s="3">
        <f t="shared" si="0"/>
        <v>1</v>
      </c>
      <c r="D18" s="3">
        <f t="shared" si="1"/>
        <v>74.186046511627907</v>
      </c>
      <c r="E18" s="3">
        <f t="shared" si="9"/>
        <v>74.186046511627907</v>
      </c>
      <c r="F18" s="3">
        <f t="shared" si="2"/>
        <v>7.0476744186046512</v>
      </c>
      <c r="G18" s="3">
        <f t="shared" si="3"/>
        <v>0</v>
      </c>
      <c r="H18" s="3">
        <f t="shared" si="4"/>
        <v>-1.0571511627906975</v>
      </c>
      <c r="I18" s="3">
        <f t="shared" si="5"/>
        <v>0</v>
      </c>
      <c r="J18" s="3">
        <f t="shared" si="10"/>
        <v>5.9905232558139536</v>
      </c>
      <c r="L18" s="3">
        <f t="shared" si="15"/>
        <v>74.977196824187203</v>
      </c>
      <c r="M18" s="3">
        <f t="shared" si="6"/>
        <v>3.7488598412093603</v>
      </c>
      <c r="N18" s="3">
        <f t="shared" si="16"/>
        <v>5.9905232558139536</v>
      </c>
      <c r="O18" s="3">
        <f t="shared" si="7"/>
        <v>0</v>
      </c>
      <c r="P18" s="3">
        <f t="shared" si="11"/>
        <v>-0.5998175745934976</v>
      </c>
      <c r="Q18" s="3">
        <f t="shared" si="12"/>
        <v>-0.2</v>
      </c>
      <c r="R18" s="3">
        <f t="shared" si="8"/>
        <v>-0.56232897618140398</v>
      </c>
      <c r="S18" s="3">
        <f t="shared" si="13"/>
        <v>83.354433370435615</v>
      </c>
    </row>
    <row r="19" spans="2:19" x14ac:dyDescent="0.25">
      <c r="B19">
        <f t="shared" si="14"/>
        <v>36</v>
      </c>
      <c r="C19" s="3">
        <f t="shared" si="0"/>
        <v>1</v>
      </c>
      <c r="D19" s="3">
        <f t="shared" si="1"/>
        <v>76.04651162790698</v>
      </c>
      <c r="E19" s="3">
        <f t="shared" si="9"/>
        <v>76.04651162790698</v>
      </c>
      <c r="F19" s="3">
        <f t="shared" si="2"/>
        <v>7.2244186046511629</v>
      </c>
      <c r="G19" s="3">
        <f t="shared" si="3"/>
        <v>0</v>
      </c>
      <c r="H19" s="3">
        <f t="shared" si="4"/>
        <v>-1.0836627906976743</v>
      </c>
      <c r="I19" s="3">
        <f t="shared" si="5"/>
        <v>0</v>
      </c>
      <c r="J19" s="3">
        <f t="shared" si="10"/>
        <v>6.1407558139534881</v>
      </c>
      <c r="L19" s="3">
        <f t="shared" si="15"/>
        <v>83.354433370435615</v>
      </c>
      <c r="M19" s="3">
        <f t="shared" si="6"/>
        <v>4.1677216685217813</v>
      </c>
      <c r="N19" s="3">
        <f t="shared" si="16"/>
        <v>6.1407558139534881</v>
      </c>
      <c r="O19" s="3">
        <f t="shared" si="7"/>
        <v>0</v>
      </c>
      <c r="P19" s="3">
        <f t="shared" si="11"/>
        <v>-0.66683546696348495</v>
      </c>
      <c r="Q19" s="3">
        <f t="shared" si="12"/>
        <v>-0.2</v>
      </c>
      <c r="R19" s="3">
        <f t="shared" si="8"/>
        <v>-0.62515825027826721</v>
      </c>
      <c r="S19" s="3">
        <f t="shared" si="13"/>
        <v>92.170917135669129</v>
      </c>
    </row>
    <row r="20" spans="2:19" x14ac:dyDescent="0.25">
      <c r="B20">
        <f t="shared" si="14"/>
        <v>37</v>
      </c>
      <c r="C20" s="3">
        <f t="shared" si="0"/>
        <v>1</v>
      </c>
      <c r="D20" s="3">
        <f t="shared" si="1"/>
        <v>77.906976744186039</v>
      </c>
      <c r="E20" s="3">
        <f t="shared" si="9"/>
        <v>77.906976744186039</v>
      </c>
      <c r="F20" s="3">
        <f t="shared" si="2"/>
        <v>7.4011627906976738</v>
      </c>
      <c r="G20" s="3">
        <f t="shared" si="3"/>
        <v>0</v>
      </c>
      <c r="H20" s="3">
        <f t="shared" si="4"/>
        <v>-1.1101744186046509</v>
      </c>
      <c r="I20" s="3">
        <f t="shared" si="5"/>
        <v>0</v>
      </c>
      <c r="J20" s="3">
        <f t="shared" si="10"/>
        <v>6.2909883720930226</v>
      </c>
      <c r="L20" s="3">
        <f t="shared" si="15"/>
        <v>92.170917135669129</v>
      </c>
      <c r="M20" s="3">
        <f t="shared" si="6"/>
        <v>4.608545856783457</v>
      </c>
      <c r="N20" s="3">
        <f t="shared" si="16"/>
        <v>6.2909883720930226</v>
      </c>
      <c r="O20" s="3">
        <f t="shared" si="7"/>
        <v>0</v>
      </c>
      <c r="P20" s="3">
        <f t="shared" si="11"/>
        <v>-0.73736733708535307</v>
      </c>
      <c r="Q20" s="3">
        <f t="shared" si="12"/>
        <v>-0.2</v>
      </c>
      <c r="R20" s="3">
        <f t="shared" si="8"/>
        <v>-0.69128187851751854</v>
      </c>
      <c r="S20" s="3">
        <f t="shared" si="13"/>
        <v>101.44180214894273</v>
      </c>
    </row>
    <row r="21" spans="2:19" x14ac:dyDescent="0.25">
      <c r="B21">
        <f t="shared" si="14"/>
        <v>38</v>
      </c>
      <c r="C21" s="3">
        <f t="shared" si="0"/>
        <v>1</v>
      </c>
      <c r="D21" s="3">
        <f t="shared" si="1"/>
        <v>79.767441860465112</v>
      </c>
      <c r="E21" s="3">
        <f t="shared" si="9"/>
        <v>79.767441860465112</v>
      </c>
      <c r="F21" s="3">
        <f t="shared" si="2"/>
        <v>7.5779069767441856</v>
      </c>
      <c r="G21" s="3">
        <f t="shared" si="3"/>
        <v>0</v>
      </c>
      <c r="H21" s="3">
        <f t="shared" si="4"/>
        <v>-1.1366860465116277</v>
      </c>
      <c r="I21" s="3">
        <f t="shared" si="5"/>
        <v>0</v>
      </c>
      <c r="J21" s="3">
        <f t="shared" si="10"/>
        <v>6.441220930232558</v>
      </c>
      <c r="L21" s="3">
        <f t="shared" si="15"/>
        <v>101.44180214894273</v>
      </c>
      <c r="M21" s="3">
        <f t="shared" si="6"/>
        <v>5.0720901074471367</v>
      </c>
      <c r="N21" s="3">
        <f t="shared" si="16"/>
        <v>6.441220930232558</v>
      </c>
      <c r="O21" s="3">
        <f t="shared" si="7"/>
        <v>0</v>
      </c>
      <c r="P21" s="3">
        <f t="shared" si="11"/>
        <v>-0.81153441719154185</v>
      </c>
      <c r="Q21" s="3">
        <f t="shared" si="12"/>
        <v>-0.2</v>
      </c>
      <c r="R21" s="3">
        <f t="shared" si="8"/>
        <v>-0.76081351611707049</v>
      </c>
      <c r="S21" s="3">
        <f t="shared" si="13"/>
        <v>111.18276525331382</v>
      </c>
    </row>
    <row r="22" spans="2:19" x14ac:dyDescent="0.25">
      <c r="B22">
        <f t="shared" si="14"/>
        <v>39</v>
      </c>
      <c r="C22" s="3">
        <f t="shared" si="0"/>
        <v>1</v>
      </c>
      <c r="D22" s="3">
        <f t="shared" si="1"/>
        <v>81.627906976744185</v>
      </c>
      <c r="E22" s="3">
        <f t="shared" si="9"/>
        <v>81.627906976744185</v>
      </c>
      <c r="F22" s="3">
        <f t="shared" si="2"/>
        <v>7.7546511627906973</v>
      </c>
      <c r="G22" s="3">
        <f t="shared" si="3"/>
        <v>0</v>
      </c>
      <c r="H22" s="3">
        <f t="shared" si="4"/>
        <v>-1.1631976744186046</v>
      </c>
      <c r="I22" s="3">
        <f t="shared" si="5"/>
        <v>0</v>
      </c>
      <c r="J22" s="3">
        <f t="shared" si="10"/>
        <v>6.5914534883720926</v>
      </c>
      <c r="L22" s="3">
        <f t="shared" si="15"/>
        <v>111.18276525331382</v>
      </c>
      <c r="M22" s="3">
        <f t="shared" si="6"/>
        <v>5.5591382626656909</v>
      </c>
      <c r="N22" s="3">
        <f t="shared" si="16"/>
        <v>6.5914534883720926</v>
      </c>
      <c r="O22" s="3">
        <f t="shared" si="7"/>
        <v>0</v>
      </c>
      <c r="P22" s="3">
        <f t="shared" si="11"/>
        <v>-0.88946212202651054</v>
      </c>
      <c r="Q22" s="3">
        <f t="shared" si="12"/>
        <v>-0.2</v>
      </c>
      <c r="R22" s="3">
        <f t="shared" si="8"/>
        <v>-0.83387073939985357</v>
      </c>
      <c r="S22" s="3">
        <f t="shared" si="13"/>
        <v>121.41002414292524</v>
      </c>
    </row>
    <row r="23" spans="2:19" x14ac:dyDescent="0.25">
      <c r="B23">
        <f t="shared" si="14"/>
        <v>40</v>
      </c>
      <c r="C23" s="3">
        <f t="shared" si="0"/>
        <v>1</v>
      </c>
      <c r="D23" s="3">
        <f t="shared" si="1"/>
        <v>83.488372093023258</v>
      </c>
      <c r="E23" s="3">
        <f t="shared" si="9"/>
        <v>83.488372093023258</v>
      </c>
      <c r="F23" s="3">
        <f t="shared" si="2"/>
        <v>7.93139534883721</v>
      </c>
      <c r="G23" s="3">
        <f t="shared" si="3"/>
        <v>0</v>
      </c>
      <c r="H23" s="3">
        <f t="shared" si="4"/>
        <v>-1.1897093023255814</v>
      </c>
      <c r="I23" s="3">
        <f t="shared" si="5"/>
        <v>0</v>
      </c>
      <c r="J23" s="3">
        <f t="shared" si="10"/>
        <v>6.7416860465116288</v>
      </c>
      <c r="L23" s="3">
        <f t="shared" si="15"/>
        <v>121.41002414292524</v>
      </c>
      <c r="M23" s="3">
        <f t="shared" si="6"/>
        <v>6.0705012071462621</v>
      </c>
      <c r="N23" s="3">
        <f t="shared" si="16"/>
        <v>6.7416860465116288</v>
      </c>
      <c r="O23" s="3">
        <f t="shared" si="7"/>
        <v>0</v>
      </c>
      <c r="P23" s="3">
        <f t="shared" si="11"/>
        <v>-0.97128019314340197</v>
      </c>
      <c r="Q23" s="3">
        <f t="shared" si="12"/>
        <v>-0.2</v>
      </c>
      <c r="R23" s="3">
        <f t="shared" si="8"/>
        <v>-0.91057518107193924</v>
      </c>
      <c r="S23" s="3">
        <f t="shared" si="13"/>
        <v>132.1403560223678</v>
      </c>
    </row>
    <row r="24" spans="2:19" x14ac:dyDescent="0.25">
      <c r="B24">
        <f t="shared" si="14"/>
        <v>41</v>
      </c>
      <c r="C24" s="3">
        <f t="shared" si="0"/>
        <v>1</v>
      </c>
      <c r="D24" s="3">
        <f t="shared" si="1"/>
        <v>85.348837209302332</v>
      </c>
      <c r="E24" s="3">
        <f t="shared" si="9"/>
        <v>85.348837209302332</v>
      </c>
      <c r="F24" s="3">
        <f t="shared" si="2"/>
        <v>8.1081395348837209</v>
      </c>
      <c r="G24" s="3">
        <f t="shared" si="3"/>
        <v>0</v>
      </c>
      <c r="H24" s="3">
        <f t="shared" si="4"/>
        <v>-1.2162209302325582</v>
      </c>
      <c r="I24" s="3">
        <f t="shared" si="5"/>
        <v>0</v>
      </c>
      <c r="J24" s="3">
        <f t="shared" si="10"/>
        <v>6.8919186046511625</v>
      </c>
      <c r="L24" s="3">
        <f t="shared" si="15"/>
        <v>132.1403560223678</v>
      </c>
      <c r="M24" s="3">
        <f t="shared" si="6"/>
        <v>6.6070178011183902</v>
      </c>
      <c r="N24" s="3">
        <f t="shared" si="16"/>
        <v>6.8919186046511625</v>
      </c>
      <c r="O24" s="3">
        <f t="shared" si="7"/>
        <v>0</v>
      </c>
      <c r="P24" s="3">
        <f t="shared" si="11"/>
        <v>-1.0571228481789423</v>
      </c>
      <c r="Q24" s="3">
        <f t="shared" si="12"/>
        <v>-0.2</v>
      </c>
      <c r="R24" s="3">
        <f t="shared" si="8"/>
        <v>-0.99105267016775844</v>
      </c>
      <c r="S24" s="3">
        <f t="shared" si="13"/>
        <v>143.39111690979064</v>
      </c>
    </row>
    <row r="25" spans="2:19" x14ac:dyDescent="0.25">
      <c r="B25">
        <f t="shared" si="14"/>
        <v>42</v>
      </c>
      <c r="C25" s="3">
        <f t="shared" si="0"/>
        <v>1</v>
      </c>
      <c r="D25" s="3">
        <f t="shared" si="1"/>
        <v>87.209302325581405</v>
      </c>
      <c r="E25" s="3">
        <f t="shared" si="9"/>
        <v>87.209302325581405</v>
      </c>
      <c r="F25" s="3">
        <f t="shared" si="2"/>
        <v>8.2848837209302335</v>
      </c>
      <c r="G25" s="3">
        <f t="shared" si="3"/>
        <v>0</v>
      </c>
      <c r="H25" s="3">
        <f t="shared" si="4"/>
        <v>-1.242732558139535</v>
      </c>
      <c r="I25" s="3">
        <f t="shared" si="5"/>
        <v>0</v>
      </c>
      <c r="J25" s="3">
        <f t="shared" si="10"/>
        <v>7.0421511627906987</v>
      </c>
      <c r="L25" s="3">
        <f t="shared" si="15"/>
        <v>143.39111690979064</v>
      </c>
      <c r="M25" s="3">
        <f t="shared" si="6"/>
        <v>7.1695558454895325</v>
      </c>
      <c r="N25" s="3">
        <f t="shared" si="16"/>
        <v>7.0421511627906987</v>
      </c>
      <c r="O25" s="3">
        <f t="shared" si="7"/>
        <v>0</v>
      </c>
      <c r="P25" s="3">
        <f t="shared" si="11"/>
        <v>-1.1471289352783252</v>
      </c>
      <c r="Q25" s="3">
        <f t="shared" si="12"/>
        <v>-0.2</v>
      </c>
      <c r="R25" s="3">
        <f t="shared" si="8"/>
        <v>-1.0754333768234299</v>
      </c>
      <c r="S25" s="3">
        <f t="shared" si="13"/>
        <v>155.18026160596912</v>
      </c>
    </row>
    <row r="26" spans="2:19" x14ac:dyDescent="0.25">
      <c r="B26">
        <f t="shared" si="14"/>
        <v>43</v>
      </c>
      <c r="C26" s="3">
        <f t="shared" si="0"/>
        <v>1</v>
      </c>
      <c r="D26" s="3">
        <f t="shared" si="1"/>
        <v>89.069767441860463</v>
      </c>
      <c r="E26" s="3">
        <f t="shared" si="9"/>
        <v>89.069767441860463</v>
      </c>
      <c r="F26" s="3">
        <f t="shared" si="2"/>
        <v>8.4616279069767444</v>
      </c>
      <c r="G26" s="3">
        <f t="shared" si="3"/>
        <v>0</v>
      </c>
      <c r="H26" s="3">
        <f t="shared" si="4"/>
        <v>-1.2692441860465116</v>
      </c>
      <c r="I26" s="3">
        <f t="shared" si="5"/>
        <v>0</v>
      </c>
      <c r="J26" s="3">
        <f t="shared" si="10"/>
        <v>7.1923837209302324</v>
      </c>
      <c r="L26" s="3">
        <f t="shared" si="15"/>
        <v>155.18026160596912</v>
      </c>
      <c r="M26" s="3">
        <f t="shared" si="6"/>
        <v>7.7590130802984563</v>
      </c>
      <c r="N26" s="3">
        <f t="shared" si="16"/>
        <v>7.1923837209302324</v>
      </c>
      <c r="O26" s="3">
        <f t="shared" si="7"/>
        <v>0</v>
      </c>
      <c r="P26" s="3">
        <f t="shared" si="11"/>
        <v>-1.241442092847753</v>
      </c>
      <c r="Q26" s="3">
        <f t="shared" si="12"/>
        <v>-0.2</v>
      </c>
      <c r="R26" s="3">
        <f t="shared" si="8"/>
        <v>-1.1638519620447685</v>
      </c>
      <c r="S26" s="3">
        <f t="shared" si="13"/>
        <v>167.52636435230528</v>
      </c>
    </row>
    <row r="27" spans="2:19" x14ac:dyDescent="0.25">
      <c r="B27">
        <f t="shared" si="14"/>
        <v>44</v>
      </c>
      <c r="C27" s="3">
        <f t="shared" si="0"/>
        <v>1</v>
      </c>
      <c r="D27" s="3">
        <f t="shared" si="1"/>
        <v>90.930232558139537</v>
      </c>
      <c r="E27" s="3">
        <f t="shared" si="9"/>
        <v>90.930232558139537</v>
      </c>
      <c r="F27" s="3">
        <f t="shared" si="2"/>
        <v>8.6383720930232553</v>
      </c>
      <c r="G27" s="3">
        <f t="shared" si="3"/>
        <v>0</v>
      </c>
      <c r="H27" s="3">
        <f t="shared" si="4"/>
        <v>-1.2957558139534882</v>
      </c>
      <c r="I27" s="3">
        <f t="shared" si="5"/>
        <v>0</v>
      </c>
      <c r="J27" s="3">
        <f t="shared" si="10"/>
        <v>7.3426162790697669</v>
      </c>
      <c r="L27" s="3">
        <f t="shared" si="15"/>
        <v>167.52636435230528</v>
      </c>
      <c r="M27" s="3">
        <f t="shared" si="6"/>
        <v>8.376318217615264</v>
      </c>
      <c r="N27" s="3">
        <f t="shared" si="16"/>
        <v>7.3426162790697669</v>
      </c>
      <c r="O27" s="3">
        <f t="shared" si="7"/>
        <v>0</v>
      </c>
      <c r="P27" s="3">
        <f t="shared" si="11"/>
        <v>-1.3402109148184422</v>
      </c>
      <c r="Q27" s="3">
        <f t="shared" si="12"/>
        <v>-0.2</v>
      </c>
      <c r="R27" s="3">
        <f t="shared" si="8"/>
        <v>-1.2564477326422896</v>
      </c>
      <c r="S27" s="3">
        <f t="shared" si="13"/>
        <v>180.4486402015296</v>
      </c>
    </row>
    <row r="28" spans="2:19" x14ac:dyDescent="0.25">
      <c r="B28">
        <f t="shared" si="14"/>
        <v>45</v>
      </c>
      <c r="C28" s="3">
        <f t="shared" si="0"/>
        <v>1</v>
      </c>
      <c r="D28" s="3">
        <f t="shared" si="1"/>
        <v>92.790697674418595</v>
      </c>
      <c r="E28" s="3">
        <f t="shared" si="9"/>
        <v>92.790697674418595</v>
      </c>
      <c r="F28" s="3">
        <f t="shared" si="2"/>
        <v>8.8151162790697661</v>
      </c>
      <c r="G28" s="3">
        <f t="shared" si="3"/>
        <v>0</v>
      </c>
      <c r="H28" s="3">
        <f t="shared" si="4"/>
        <v>-1.322267441860465</v>
      </c>
      <c r="I28" s="3">
        <f t="shared" si="5"/>
        <v>0</v>
      </c>
      <c r="J28" s="3">
        <f t="shared" si="10"/>
        <v>7.4928488372093014</v>
      </c>
      <c r="L28" s="3">
        <f t="shared" si="15"/>
        <v>180.4486402015296</v>
      </c>
      <c r="M28" s="3">
        <f t="shared" si="6"/>
        <v>9.0224320100764803</v>
      </c>
      <c r="N28" s="3">
        <f t="shared" si="16"/>
        <v>7.4928488372093014</v>
      </c>
      <c r="O28" s="3">
        <f t="shared" si="7"/>
        <v>0</v>
      </c>
      <c r="P28" s="3">
        <f t="shared" si="11"/>
        <v>-1.4435891216122367</v>
      </c>
      <c r="Q28" s="3">
        <f t="shared" si="12"/>
        <v>-0.2</v>
      </c>
      <c r="R28" s="3">
        <f t="shared" si="8"/>
        <v>-1.3533648015114721</v>
      </c>
      <c r="S28" s="3">
        <f t="shared" si="13"/>
        <v>193.96696712569167</v>
      </c>
    </row>
    <row r="29" spans="2:19" x14ac:dyDescent="0.25">
      <c r="B29">
        <f t="shared" si="14"/>
        <v>46</v>
      </c>
      <c r="C29" s="3">
        <f t="shared" si="0"/>
        <v>1</v>
      </c>
      <c r="D29" s="3">
        <f t="shared" si="1"/>
        <v>94.651162790697668</v>
      </c>
      <c r="E29" s="3">
        <f t="shared" si="9"/>
        <v>94.651162790697668</v>
      </c>
      <c r="F29" s="3">
        <f t="shared" si="2"/>
        <v>8.9918604651162788</v>
      </c>
      <c r="G29" s="3">
        <f t="shared" si="3"/>
        <v>0</v>
      </c>
      <c r="H29" s="3">
        <f t="shared" si="4"/>
        <v>-1.3487790697674418</v>
      </c>
      <c r="I29" s="3">
        <f t="shared" si="5"/>
        <v>0</v>
      </c>
      <c r="J29" s="3">
        <f t="shared" si="10"/>
        <v>7.6430813953488368</v>
      </c>
      <c r="L29" s="3">
        <f t="shared" si="15"/>
        <v>193.96696712569167</v>
      </c>
      <c r="M29" s="3">
        <f t="shared" si="6"/>
        <v>9.6983483562845834</v>
      </c>
      <c r="N29" s="3">
        <f t="shared" si="16"/>
        <v>7.6430813953488368</v>
      </c>
      <c r="O29" s="3">
        <f t="shared" si="7"/>
        <v>0</v>
      </c>
      <c r="P29" s="3">
        <f t="shared" si="11"/>
        <v>-1.5517357370055334</v>
      </c>
      <c r="Q29" s="3">
        <f t="shared" si="12"/>
        <v>-0.2</v>
      </c>
      <c r="R29" s="3">
        <f t="shared" si="8"/>
        <v>-1.4547522534426875</v>
      </c>
      <c r="S29" s="3">
        <f t="shared" si="13"/>
        <v>208.10190888687688</v>
      </c>
    </row>
    <row r="30" spans="2:19" x14ac:dyDescent="0.25">
      <c r="B30">
        <f t="shared" si="14"/>
        <v>47</v>
      </c>
      <c r="C30" s="3">
        <f t="shared" si="0"/>
        <v>1</v>
      </c>
      <c r="D30" s="3">
        <f t="shared" si="1"/>
        <v>96.511627906976742</v>
      </c>
      <c r="E30" s="3">
        <f t="shared" si="9"/>
        <v>96.511627906976742</v>
      </c>
      <c r="F30" s="3">
        <f t="shared" si="2"/>
        <v>9.1686046511627914</v>
      </c>
      <c r="G30" s="3">
        <f t="shared" si="3"/>
        <v>0</v>
      </c>
      <c r="H30" s="3">
        <f t="shared" si="4"/>
        <v>-1.3752906976744186</v>
      </c>
      <c r="I30" s="3">
        <f t="shared" si="5"/>
        <v>0</v>
      </c>
      <c r="J30" s="3">
        <f t="shared" si="10"/>
        <v>7.7933139534883731</v>
      </c>
      <c r="L30" s="3">
        <f t="shared" si="15"/>
        <v>208.10190888687688</v>
      </c>
      <c r="M30" s="3">
        <f t="shared" si="6"/>
        <v>10.405095444343845</v>
      </c>
      <c r="N30" s="3">
        <f t="shared" si="16"/>
        <v>7.7933139534883731</v>
      </c>
      <c r="O30" s="3">
        <f t="shared" si="7"/>
        <v>0</v>
      </c>
      <c r="P30" s="3">
        <f t="shared" si="11"/>
        <v>-1.664815271095015</v>
      </c>
      <c r="Q30" s="3">
        <f t="shared" si="12"/>
        <v>-0.2</v>
      </c>
      <c r="R30" s="3">
        <f t="shared" si="8"/>
        <v>-1.5607643166515766</v>
      </c>
      <c r="S30" s="3">
        <f t="shared" si="13"/>
        <v>222.87473869696251</v>
      </c>
    </row>
    <row r="31" spans="2:19" x14ac:dyDescent="0.25">
      <c r="B31">
        <f t="shared" si="14"/>
        <v>48</v>
      </c>
      <c r="C31" s="3">
        <f t="shared" si="0"/>
        <v>1</v>
      </c>
      <c r="D31" s="3">
        <f t="shared" si="1"/>
        <v>98.372093023255815</v>
      </c>
      <c r="E31" s="3">
        <f t="shared" si="9"/>
        <v>98.372093023255815</v>
      </c>
      <c r="F31" s="3">
        <f t="shared" si="2"/>
        <v>9.3453488372093023</v>
      </c>
      <c r="G31" s="3">
        <f t="shared" si="3"/>
        <v>0</v>
      </c>
      <c r="H31" s="3">
        <f t="shared" si="4"/>
        <v>-1.4018023255813954</v>
      </c>
      <c r="I31" s="3">
        <f t="shared" si="5"/>
        <v>0</v>
      </c>
      <c r="J31" s="3">
        <f t="shared" si="10"/>
        <v>7.9435465116279067</v>
      </c>
      <c r="L31" s="3">
        <f t="shared" si="15"/>
        <v>222.87473869696251</v>
      </c>
      <c r="M31" s="3">
        <f t="shared" si="6"/>
        <v>11.143736934848127</v>
      </c>
      <c r="N31" s="3">
        <f t="shared" si="16"/>
        <v>7.9435465116279067</v>
      </c>
      <c r="O31" s="3">
        <f t="shared" si="7"/>
        <v>0</v>
      </c>
      <c r="P31" s="3">
        <f t="shared" si="11"/>
        <v>-1.7829979095757</v>
      </c>
      <c r="Q31" s="3">
        <f t="shared" si="12"/>
        <v>-0.2</v>
      </c>
      <c r="R31" s="3">
        <f t="shared" si="8"/>
        <v>-1.6715605402272189</v>
      </c>
      <c r="S31" s="3">
        <f t="shared" si="13"/>
        <v>238.30746369363567</v>
      </c>
    </row>
    <row r="32" spans="2:19" x14ac:dyDescent="0.25">
      <c r="B32">
        <f t="shared" si="14"/>
        <v>49</v>
      </c>
      <c r="C32" s="3">
        <f t="shared" si="0"/>
        <v>1</v>
      </c>
      <c r="D32" s="3">
        <f t="shared" si="1"/>
        <v>100.23255813953489</v>
      </c>
      <c r="E32" s="3">
        <f t="shared" si="9"/>
        <v>100.23255813953489</v>
      </c>
      <c r="F32" s="3">
        <f t="shared" si="2"/>
        <v>9.522093023255815</v>
      </c>
      <c r="G32" s="3">
        <f t="shared" si="3"/>
        <v>0</v>
      </c>
      <c r="H32" s="3">
        <f t="shared" si="4"/>
        <v>-1.4283139534883722</v>
      </c>
      <c r="I32" s="3">
        <f t="shared" si="5"/>
        <v>0</v>
      </c>
      <c r="J32" s="3">
        <f t="shared" si="10"/>
        <v>8.093779069767443</v>
      </c>
      <c r="L32" s="3">
        <f t="shared" si="15"/>
        <v>238.30746369363567</v>
      </c>
      <c r="M32" s="3">
        <f t="shared" si="6"/>
        <v>11.915373184681783</v>
      </c>
      <c r="N32" s="3">
        <f t="shared" si="16"/>
        <v>8.093779069767443</v>
      </c>
      <c r="O32" s="3">
        <f t="shared" si="7"/>
        <v>0</v>
      </c>
      <c r="P32" s="3">
        <f t="shared" si="11"/>
        <v>-1.9064597095490854</v>
      </c>
      <c r="Q32" s="3">
        <f t="shared" si="12"/>
        <v>-0.2</v>
      </c>
      <c r="R32" s="3">
        <f t="shared" si="8"/>
        <v>-1.7873059777022675</v>
      </c>
      <c r="S32" s="3">
        <f t="shared" si="13"/>
        <v>254.42285026083357</v>
      </c>
    </row>
    <row r="33" spans="2:19" x14ac:dyDescent="0.25">
      <c r="B33">
        <f t="shared" si="14"/>
        <v>50</v>
      </c>
      <c r="C33" s="3">
        <f t="shared" si="0"/>
        <v>1</v>
      </c>
      <c r="D33" s="3">
        <f t="shared" si="1"/>
        <v>102.09302325581396</v>
      </c>
      <c r="E33" s="3">
        <f t="shared" si="9"/>
        <v>102.09302325581396</v>
      </c>
      <c r="F33" s="3">
        <f t="shared" si="2"/>
        <v>9.6988372093023258</v>
      </c>
      <c r="G33" s="3">
        <f t="shared" si="3"/>
        <v>0</v>
      </c>
      <c r="H33" s="3">
        <f t="shared" si="4"/>
        <v>-1.4548255813953488</v>
      </c>
      <c r="I33" s="3">
        <f t="shared" si="5"/>
        <v>0</v>
      </c>
      <c r="J33" s="3">
        <f t="shared" si="10"/>
        <v>8.2440116279069766</v>
      </c>
      <c r="L33" s="3">
        <f t="shared" si="15"/>
        <v>254.42285026083357</v>
      </c>
      <c r="M33" s="3">
        <f t="shared" si="6"/>
        <v>12.721142513041679</v>
      </c>
      <c r="N33" s="3">
        <f t="shared" si="16"/>
        <v>8.2440116279069766</v>
      </c>
      <c r="O33" s="3">
        <f t="shared" si="7"/>
        <v>0</v>
      </c>
      <c r="P33" s="3">
        <f t="shared" si="11"/>
        <v>-2.0353828020866684</v>
      </c>
      <c r="Q33" s="3">
        <f t="shared" si="12"/>
        <v>-0.2</v>
      </c>
      <c r="R33" s="3">
        <f t="shared" si="8"/>
        <v>-1.9081713769562518</v>
      </c>
      <c r="S33" s="3">
        <f t="shared" si="13"/>
        <v>271.24445022273932</v>
      </c>
    </row>
    <row r="34" spans="2:19" x14ac:dyDescent="0.25">
      <c r="B34">
        <f t="shared" si="14"/>
        <v>51</v>
      </c>
      <c r="C34" s="3">
        <f t="shared" si="0"/>
        <v>1</v>
      </c>
      <c r="D34" s="3">
        <f t="shared" si="1"/>
        <v>103.95348837209303</v>
      </c>
      <c r="E34" s="3">
        <f t="shared" si="9"/>
        <v>103.95348837209303</v>
      </c>
      <c r="F34" s="3">
        <f t="shared" si="2"/>
        <v>9.8755813953488385</v>
      </c>
      <c r="G34" s="3">
        <f t="shared" si="3"/>
        <v>0</v>
      </c>
      <c r="H34" s="3">
        <f t="shared" si="4"/>
        <v>-1.4813372093023258</v>
      </c>
      <c r="I34" s="3">
        <f t="shared" si="5"/>
        <v>0</v>
      </c>
      <c r="J34" s="3">
        <f t="shared" si="10"/>
        <v>8.394244186046512</v>
      </c>
      <c r="L34" s="3">
        <f t="shared" si="15"/>
        <v>271.24445022273932</v>
      </c>
      <c r="M34" s="3">
        <f t="shared" si="6"/>
        <v>13.562222511136966</v>
      </c>
      <c r="N34" s="3">
        <f t="shared" si="16"/>
        <v>8.394244186046512</v>
      </c>
      <c r="O34" s="3">
        <f t="shared" si="7"/>
        <v>0</v>
      </c>
      <c r="P34" s="3">
        <f t="shared" si="11"/>
        <v>-2.1699556017819144</v>
      </c>
      <c r="Q34" s="3">
        <f t="shared" si="12"/>
        <v>-0.2</v>
      </c>
      <c r="R34" s="3">
        <f t="shared" si="8"/>
        <v>-2.0343333766705447</v>
      </c>
      <c r="S34" s="3">
        <f t="shared" si="13"/>
        <v>288.79662794147038</v>
      </c>
    </row>
    <row r="35" spans="2:19" x14ac:dyDescent="0.25">
      <c r="B35">
        <f t="shared" si="14"/>
        <v>52</v>
      </c>
      <c r="C35" s="3">
        <f t="shared" si="0"/>
        <v>1</v>
      </c>
      <c r="D35" s="3">
        <f t="shared" si="1"/>
        <v>105.81395348837209</v>
      </c>
      <c r="E35" s="3">
        <f t="shared" si="9"/>
        <v>105.81395348837209</v>
      </c>
      <c r="F35" s="3">
        <f t="shared" si="2"/>
        <v>10.052325581395349</v>
      </c>
      <c r="G35" s="3">
        <f t="shared" si="3"/>
        <v>0</v>
      </c>
      <c r="H35" s="3">
        <f t="shared" si="4"/>
        <v>-1.5078488372093024</v>
      </c>
      <c r="I35" s="3">
        <f t="shared" si="5"/>
        <v>0</v>
      </c>
      <c r="J35" s="3">
        <f t="shared" si="10"/>
        <v>8.5444767441860474</v>
      </c>
      <c r="L35" s="3">
        <f t="shared" si="15"/>
        <v>288.79662794147038</v>
      </c>
      <c r="M35" s="3">
        <f t="shared" si="6"/>
        <v>14.439831397073519</v>
      </c>
      <c r="N35" s="3">
        <f t="shared" si="16"/>
        <v>8.5444767441860474</v>
      </c>
      <c r="O35" s="3">
        <f t="shared" si="7"/>
        <v>0</v>
      </c>
      <c r="P35" s="3">
        <f t="shared" si="11"/>
        <v>-2.310373023531763</v>
      </c>
      <c r="Q35" s="3">
        <f t="shared" si="12"/>
        <v>-0.2</v>
      </c>
      <c r="R35" s="3">
        <f t="shared" si="8"/>
        <v>-2.1659747095610276</v>
      </c>
      <c r="S35" s="3">
        <f t="shared" si="13"/>
        <v>307.10458834963714</v>
      </c>
    </row>
    <row r="36" spans="2:19" x14ac:dyDescent="0.25">
      <c r="B36">
        <f t="shared" si="14"/>
        <v>53</v>
      </c>
      <c r="C36" s="3">
        <f t="shared" si="0"/>
        <v>1</v>
      </c>
      <c r="D36" s="3">
        <f t="shared" si="1"/>
        <v>107.67441860465117</v>
      </c>
      <c r="E36" s="3">
        <f t="shared" si="9"/>
        <v>107.67441860465117</v>
      </c>
      <c r="F36" s="3">
        <f t="shared" si="2"/>
        <v>10.22906976744186</v>
      </c>
      <c r="G36" s="3">
        <f t="shared" si="3"/>
        <v>0</v>
      </c>
      <c r="H36" s="3">
        <f t="shared" si="4"/>
        <v>-1.534360465116279</v>
      </c>
      <c r="I36" s="3">
        <f t="shared" si="5"/>
        <v>0</v>
      </c>
      <c r="J36" s="3">
        <f t="shared" si="10"/>
        <v>8.694709302325581</v>
      </c>
      <c r="L36" s="3">
        <f t="shared" si="15"/>
        <v>307.10458834963714</v>
      </c>
      <c r="M36" s="3">
        <f t="shared" si="6"/>
        <v>15.355229417481858</v>
      </c>
      <c r="N36" s="3">
        <f t="shared" si="16"/>
        <v>8.694709302325581</v>
      </c>
      <c r="O36" s="3">
        <f t="shared" si="7"/>
        <v>0</v>
      </c>
      <c r="P36" s="3">
        <f t="shared" si="11"/>
        <v>-2.4568367067970973</v>
      </c>
      <c r="Q36" s="3">
        <f t="shared" si="12"/>
        <v>-0.2</v>
      </c>
      <c r="R36" s="3">
        <f t="shared" si="8"/>
        <v>-2.3032844126222787</v>
      </c>
      <c r="S36" s="3">
        <f t="shared" si="13"/>
        <v>326.19440595002516</v>
      </c>
    </row>
    <row r="37" spans="2:19" x14ac:dyDescent="0.25">
      <c r="B37">
        <f t="shared" si="14"/>
        <v>54</v>
      </c>
      <c r="C37" s="3">
        <f t="shared" ref="C37:C68" si="17">IF(B37&lt;=Finage,1-(IF(B37&lt;Breakage,0,1)*IF(B37&gt;(Breakage+Breakyrs-1),0,1-Breakfrac)),0)</f>
        <v>1</v>
      </c>
      <c r="D37" s="3">
        <f t="shared" ref="D37:D72" si="18">Commsal+((Finsal-Commsal)*(B37-Commage)/(Finage-Commage))</f>
        <v>109.53488372093022</v>
      </c>
      <c r="E37" s="3">
        <f t="shared" si="9"/>
        <v>109.53488372093022</v>
      </c>
      <c r="F37" s="3">
        <f t="shared" ref="F37:F68" si="19">E37*SGLrate</f>
        <v>10.405813953488371</v>
      </c>
      <c r="G37" s="3">
        <f t="shared" ref="G37:G68" si="20">(IF(Cocont,IF(E37&lt;50.454,IF(E37&lt;35.454,0.5,0.5-(E37-35.454)/35.454),0),0))*C37*2</f>
        <v>0</v>
      </c>
      <c r="H37" s="3">
        <f t="shared" ref="H37:H68" si="21">-F37*Conttax-IF(Concessional,O37*0.15)</f>
        <v>-1.5608720930232556</v>
      </c>
      <c r="I37" s="3">
        <f t="shared" ref="I37:I68" si="22">IF(Rudd500,IF(E37&lt;=37,IF(-H37&gt;0.5,0.5,-H37),0),0)</f>
        <v>0</v>
      </c>
      <c r="J37" s="3">
        <f t="shared" si="10"/>
        <v>8.8449418604651164</v>
      </c>
      <c r="L37" s="3">
        <f t="shared" si="15"/>
        <v>326.19440595002516</v>
      </c>
      <c r="M37" s="3">
        <f t="shared" ref="M37:M68" si="23">L37*Earn</f>
        <v>16.309720297501258</v>
      </c>
      <c r="N37" s="3">
        <f t="shared" si="16"/>
        <v>8.8449418604651164</v>
      </c>
      <c r="O37" s="3">
        <f t="shared" ref="O37:O68" si="24">IF(B37=Lumpage, Lumpsum,0)</f>
        <v>0</v>
      </c>
      <c r="P37" s="3">
        <f t="shared" si="11"/>
        <v>-2.6095552476002015</v>
      </c>
      <c r="Q37" s="3">
        <f t="shared" si="12"/>
        <v>-0.2</v>
      </c>
      <c r="R37" s="3">
        <f t="shared" ref="R37:R72" si="25">-M37*Earntax</f>
        <v>-2.4464580446251887</v>
      </c>
      <c r="S37" s="3">
        <f t="shared" si="13"/>
        <v>346.0930548157661</v>
      </c>
    </row>
    <row r="38" spans="2:19" x14ac:dyDescent="0.25">
      <c r="B38">
        <f t="shared" si="14"/>
        <v>55</v>
      </c>
      <c r="C38" s="3">
        <f t="shared" si="17"/>
        <v>1</v>
      </c>
      <c r="D38" s="3">
        <f t="shared" si="18"/>
        <v>111.3953488372093</v>
      </c>
      <c r="E38" s="3">
        <f t="shared" si="9"/>
        <v>111.3953488372093</v>
      </c>
      <c r="F38" s="3">
        <f t="shared" si="19"/>
        <v>10.582558139534884</v>
      </c>
      <c r="G38" s="3">
        <f t="shared" si="20"/>
        <v>0</v>
      </c>
      <c r="H38" s="3">
        <f t="shared" si="21"/>
        <v>-1.5873837209302326</v>
      </c>
      <c r="I38" s="3">
        <f t="shared" si="22"/>
        <v>0</v>
      </c>
      <c r="J38" s="3">
        <f t="shared" si="10"/>
        <v>8.9951744186046518</v>
      </c>
      <c r="L38" s="3">
        <f t="shared" si="15"/>
        <v>346.0930548157661</v>
      </c>
      <c r="M38" s="3">
        <f t="shared" si="23"/>
        <v>17.304652740788306</v>
      </c>
      <c r="N38" s="3">
        <f t="shared" si="16"/>
        <v>8.9951744186046518</v>
      </c>
      <c r="O38" s="3">
        <f t="shared" si="24"/>
        <v>0</v>
      </c>
      <c r="P38" s="3">
        <f t="shared" ref="P38:P69" si="26">IF(SMSF,(IF(L38&lt;SMSFthres,-L38*Perfees,0)),-L38*Perfees)</f>
        <v>-2.7687444385261286</v>
      </c>
      <c r="Q38" s="3">
        <f t="shared" ref="Q38:Q69" si="27">IF(SMSF,(IF(L38&lt;SMSFthres,-Fixfees/1000,-SMSFfees/1000)),-Fixfees/1000)</f>
        <v>-0.2</v>
      </c>
      <c r="R38" s="3">
        <f t="shared" si="25"/>
        <v>-2.5956979111182457</v>
      </c>
      <c r="S38" s="3">
        <f t="shared" si="13"/>
        <v>366.8284396255147</v>
      </c>
    </row>
    <row r="39" spans="2:19" x14ac:dyDescent="0.25">
      <c r="B39">
        <f t="shared" si="14"/>
        <v>56</v>
      </c>
      <c r="C39" s="3">
        <f t="shared" si="17"/>
        <v>1</v>
      </c>
      <c r="D39" s="3">
        <f t="shared" si="18"/>
        <v>113.25581395348837</v>
      </c>
      <c r="E39" s="3">
        <f t="shared" si="9"/>
        <v>113.25581395348837</v>
      </c>
      <c r="F39" s="3">
        <f t="shared" si="19"/>
        <v>10.759302325581395</v>
      </c>
      <c r="G39" s="3">
        <f t="shared" si="20"/>
        <v>0</v>
      </c>
      <c r="H39" s="3">
        <f t="shared" si="21"/>
        <v>-1.6138953488372092</v>
      </c>
      <c r="I39" s="3">
        <f t="shared" si="22"/>
        <v>0</v>
      </c>
      <c r="J39" s="3">
        <f t="shared" si="10"/>
        <v>9.1454069767441855</v>
      </c>
      <c r="L39" s="3">
        <f t="shared" si="15"/>
        <v>366.8284396255147</v>
      </c>
      <c r="M39" s="3">
        <f t="shared" si="23"/>
        <v>18.341421981275737</v>
      </c>
      <c r="N39" s="3">
        <f t="shared" si="16"/>
        <v>9.1454069767441855</v>
      </c>
      <c r="O39" s="3">
        <f t="shared" si="24"/>
        <v>0</v>
      </c>
      <c r="P39" s="3">
        <f t="shared" si="26"/>
        <v>-2.9346275170041176</v>
      </c>
      <c r="Q39" s="3">
        <f t="shared" si="27"/>
        <v>-0.2</v>
      </c>
      <c r="R39" s="3">
        <f t="shared" si="25"/>
        <v>-2.7512132971913603</v>
      </c>
      <c r="S39" s="3">
        <f t="shared" si="13"/>
        <v>388.42942776933916</v>
      </c>
    </row>
    <row r="40" spans="2:19" x14ac:dyDescent="0.25">
      <c r="B40">
        <f t="shared" si="14"/>
        <v>57</v>
      </c>
      <c r="C40" s="3">
        <f t="shared" si="17"/>
        <v>1</v>
      </c>
      <c r="D40" s="3">
        <f t="shared" si="18"/>
        <v>115.11627906976744</v>
      </c>
      <c r="E40" s="3">
        <f t="shared" si="9"/>
        <v>115.11627906976744</v>
      </c>
      <c r="F40" s="3">
        <f t="shared" si="19"/>
        <v>10.936046511627907</v>
      </c>
      <c r="G40" s="3">
        <f t="shared" si="20"/>
        <v>0</v>
      </c>
      <c r="H40" s="3">
        <f t="shared" si="21"/>
        <v>-1.640406976744186</v>
      </c>
      <c r="I40" s="3">
        <f t="shared" si="22"/>
        <v>0</v>
      </c>
      <c r="J40" s="3">
        <f t="shared" si="10"/>
        <v>9.2956395348837209</v>
      </c>
      <c r="L40" s="3">
        <f t="shared" si="15"/>
        <v>388.42942776933916</v>
      </c>
      <c r="M40" s="3">
        <f t="shared" si="23"/>
        <v>19.421471388466959</v>
      </c>
      <c r="N40" s="3">
        <f t="shared" si="16"/>
        <v>9.2956395348837209</v>
      </c>
      <c r="O40" s="3">
        <f t="shared" si="24"/>
        <v>0</v>
      </c>
      <c r="P40" s="3">
        <f t="shared" si="26"/>
        <v>-3.1074354221547131</v>
      </c>
      <c r="Q40" s="3">
        <f t="shared" si="27"/>
        <v>-0.2</v>
      </c>
      <c r="R40" s="3">
        <f t="shared" si="25"/>
        <v>-2.9132207082700439</v>
      </c>
      <c r="S40" s="3">
        <f t="shared" si="13"/>
        <v>410.92588256226509</v>
      </c>
    </row>
    <row r="41" spans="2:19" x14ac:dyDescent="0.25">
      <c r="B41">
        <f t="shared" si="14"/>
        <v>58</v>
      </c>
      <c r="C41" s="3">
        <f t="shared" si="17"/>
        <v>1</v>
      </c>
      <c r="D41" s="3">
        <f t="shared" si="18"/>
        <v>116.97674418604652</v>
      </c>
      <c r="E41" s="3">
        <f t="shared" si="9"/>
        <v>116.97674418604652</v>
      </c>
      <c r="F41" s="3">
        <f t="shared" si="19"/>
        <v>11.11279069767442</v>
      </c>
      <c r="G41" s="3">
        <f t="shared" si="20"/>
        <v>0</v>
      </c>
      <c r="H41" s="3">
        <f t="shared" si="21"/>
        <v>-1.666918604651163</v>
      </c>
      <c r="I41" s="3">
        <f t="shared" si="22"/>
        <v>0</v>
      </c>
      <c r="J41" s="3">
        <f t="shared" si="10"/>
        <v>9.4458720930232563</v>
      </c>
      <c r="L41" s="3">
        <f t="shared" ref="L41:L58" si="28">S40</f>
        <v>410.92588256226509</v>
      </c>
      <c r="M41" s="3">
        <f t="shared" si="23"/>
        <v>20.546294128113257</v>
      </c>
      <c r="N41" s="3">
        <f t="shared" ref="N41:N58" si="29">J41</f>
        <v>9.4458720930232563</v>
      </c>
      <c r="O41" s="3">
        <f t="shared" si="24"/>
        <v>0</v>
      </c>
      <c r="P41" s="3">
        <f t="shared" si="26"/>
        <v>-3.2874070604981207</v>
      </c>
      <c r="Q41" s="3">
        <f t="shared" si="27"/>
        <v>-0.2</v>
      </c>
      <c r="R41" s="3">
        <f t="shared" si="25"/>
        <v>-3.0819441192169883</v>
      </c>
      <c r="S41" s="3">
        <f t="shared" si="13"/>
        <v>434.34869760368645</v>
      </c>
    </row>
    <row r="42" spans="2:19" x14ac:dyDescent="0.25">
      <c r="B42">
        <f t="shared" si="14"/>
        <v>59</v>
      </c>
      <c r="C42" s="3">
        <f t="shared" si="17"/>
        <v>1</v>
      </c>
      <c r="D42" s="3">
        <f t="shared" si="18"/>
        <v>118.83720930232558</v>
      </c>
      <c r="E42" s="3">
        <f t="shared" si="9"/>
        <v>118.83720930232558</v>
      </c>
      <c r="F42" s="3">
        <f t="shared" si="19"/>
        <v>11.289534883720929</v>
      </c>
      <c r="G42" s="3">
        <f t="shared" si="20"/>
        <v>0</v>
      </c>
      <c r="H42" s="3">
        <f t="shared" si="21"/>
        <v>-1.6934302325581394</v>
      </c>
      <c r="I42" s="3">
        <f t="shared" si="22"/>
        <v>0</v>
      </c>
      <c r="J42" s="3">
        <f t="shared" si="10"/>
        <v>9.5961046511627899</v>
      </c>
      <c r="L42" s="3">
        <f t="shared" si="28"/>
        <v>434.34869760368645</v>
      </c>
      <c r="M42" s="3">
        <f t="shared" si="23"/>
        <v>21.717434880184324</v>
      </c>
      <c r="N42" s="3">
        <f t="shared" si="29"/>
        <v>9.5961046511627899</v>
      </c>
      <c r="O42" s="3">
        <f t="shared" si="24"/>
        <v>0</v>
      </c>
      <c r="P42" s="3">
        <f t="shared" si="26"/>
        <v>-3.4747895808294915</v>
      </c>
      <c r="Q42" s="3">
        <f t="shared" si="27"/>
        <v>-0.2</v>
      </c>
      <c r="R42" s="3">
        <f t="shared" si="25"/>
        <v>-3.2576152320276486</v>
      </c>
      <c r="S42" s="3">
        <f t="shared" si="13"/>
        <v>458.72983232217643</v>
      </c>
    </row>
    <row r="43" spans="2:19" x14ac:dyDescent="0.25">
      <c r="B43">
        <f t="shared" si="14"/>
        <v>60</v>
      </c>
      <c r="C43" s="3">
        <f t="shared" si="17"/>
        <v>1</v>
      </c>
      <c r="D43" s="3">
        <f t="shared" si="18"/>
        <v>120.69767441860465</v>
      </c>
      <c r="E43" s="3">
        <f t="shared" si="9"/>
        <v>120.69767441860465</v>
      </c>
      <c r="F43" s="3">
        <f t="shared" si="19"/>
        <v>11.466279069767442</v>
      </c>
      <c r="G43" s="3">
        <f t="shared" si="20"/>
        <v>0</v>
      </c>
      <c r="H43" s="3">
        <f t="shared" si="21"/>
        <v>-1.7199418604651162</v>
      </c>
      <c r="I43" s="3">
        <f t="shared" si="22"/>
        <v>0</v>
      </c>
      <c r="J43" s="3">
        <f t="shared" si="10"/>
        <v>9.7463372093023253</v>
      </c>
      <c r="L43" s="3">
        <f t="shared" si="28"/>
        <v>458.72983232217643</v>
      </c>
      <c r="M43" s="3">
        <f t="shared" si="23"/>
        <v>22.936491616108825</v>
      </c>
      <c r="N43" s="3">
        <f t="shared" si="29"/>
        <v>9.7463372093023253</v>
      </c>
      <c r="O43" s="3">
        <f t="shared" si="24"/>
        <v>0</v>
      </c>
      <c r="P43" s="3">
        <f t="shared" si="26"/>
        <v>-3.6698386585774116</v>
      </c>
      <c r="Q43" s="3">
        <f t="shared" si="27"/>
        <v>-0.2</v>
      </c>
      <c r="R43" s="3">
        <f t="shared" si="25"/>
        <v>-3.4404737424163234</v>
      </c>
      <c r="S43" s="3">
        <f t="shared" si="13"/>
        <v>484.10234874659386</v>
      </c>
    </row>
    <row r="44" spans="2:19" x14ac:dyDescent="0.25">
      <c r="B44">
        <f t="shared" si="14"/>
        <v>61</v>
      </c>
      <c r="C44" s="3">
        <f t="shared" si="17"/>
        <v>1</v>
      </c>
      <c r="D44" s="3">
        <f t="shared" si="18"/>
        <v>122.55813953488372</v>
      </c>
      <c r="E44" s="3">
        <f t="shared" si="9"/>
        <v>122.55813953488372</v>
      </c>
      <c r="F44" s="3">
        <f t="shared" si="19"/>
        <v>11.643023255813954</v>
      </c>
      <c r="G44" s="3">
        <f t="shared" si="20"/>
        <v>0</v>
      </c>
      <c r="H44" s="3">
        <f t="shared" si="21"/>
        <v>-1.746453488372093</v>
      </c>
      <c r="I44" s="3">
        <f t="shared" si="22"/>
        <v>0</v>
      </c>
      <c r="J44" s="3">
        <f t="shared" si="10"/>
        <v>9.8965697674418607</v>
      </c>
      <c r="L44" s="3">
        <f t="shared" si="28"/>
        <v>484.10234874659386</v>
      </c>
      <c r="M44" s="3">
        <f t="shared" si="23"/>
        <v>24.205117437329694</v>
      </c>
      <c r="N44" s="3">
        <f t="shared" si="29"/>
        <v>9.8965697674418607</v>
      </c>
      <c r="O44" s="3">
        <f t="shared" si="24"/>
        <v>0</v>
      </c>
      <c r="P44" s="3">
        <f t="shared" si="26"/>
        <v>-3.8728187899727509</v>
      </c>
      <c r="Q44" s="3">
        <f t="shared" si="27"/>
        <v>-0.2</v>
      </c>
      <c r="R44" s="3">
        <f t="shared" si="25"/>
        <v>-3.6307676155994537</v>
      </c>
      <c r="S44" s="3">
        <f t="shared" si="13"/>
        <v>510.50044954579323</v>
      </c>
    </row>
    <row r="45" spans="2:19" x14ac:dyDescent="0.25">
      <c r="B45">
        <f t="shared" si="14"/>
        <v>62</v>
      </c>
      <c r="C45" s="3">
        <f t="shared" si="17"/>
        <v>1</v>
      </c>
      <c r="D45" s="3">
        <f t="shared" si="18"/>
        <v>124.41860465116279</v>
      </c>
      <c r="E45" s="3">
        <f t="shared" si="9"/>
        <v>124.41860465116279</v>
      </c>
      <c r="F45" s="3">
        <f t="shared" si="19"/>
        <v>11.819767441860465</v>
      </c>
      <c r="G45" s="3">
        <f t="shared" si="20"/>
        <v>0</v>
      </c>
      <c r="H45" s="3">
        <f t="shared" si="21"/>
        <v>-1.7729651162790698</v>
      </c>
      <c r="I45" s="3">
        <f t="shared" si="22"/>
        <v>0</v>
      </c>
      <c r="J45" s="3">
        <f t="shared" si="10"/>
        <v>10.046802325581396</v>
      </c>
      <c r="L45" s="3">
        <f t="shared" si="28"/>
        <v>510.50044954579323</v>
      </c>
      <c r="M45" s="3">
        <f t="shared" si="23"/>
        <v>25.525022477289664</v>
      </c>
      <c r="N45" s="3">
        <f t="shared" si="29"/>
        <v>10.046802325581396</v>
      </c>
      <c r="O45" s="3">
        <f t="shared" si="24"/>
        <v>0</v>
      </c>
      <c r="P45" s="3">
        <f t="shared" si="26"/>
        <v>-4.0840035963663457</v>
      </c>
      <c r="Q45" s="3">
        <f t="shared" si="27"/>
        <v>-0.2</v>
      </c>
      <c r="R45" s="3">
        <f t="shared" si="25"/>
        <v>-3.8287533715934492</v>
      </c>
      <c r="S45" s="3">
        <f t="shared" si="13"/>
        <v>537.9595173807046</v>
      </c>
    </row>
    <row r="46" spans="2:19" x14ac:dyDescent="0.25">
      <c r="B46">
        <f t="shared" si="14"/>
        <v>63</v>
      </c>
      <c r="C46" s="3">
        <f t="shared" si="17"/>
        <v>1</v>
      </c>
      <c r="D46" s="3">
        <f t="shared" si="18"/>
        <v>126.27906976744185</v>
      </c>
      <c r="E46" s="3">
        <f t="shared" si="9"/>
        <v>126.27906976744185</v>
      </c>
      <c r="F46" s="3">
        <f t="shared" si="19"/>
        <v>11.996511627906976</v>
      </c>
      <c r="G46" s="3">
        <f t="shared" si="20"/>
        <v>0</v>
      </c>
      <c r="H46" s="3">
        <f t="shared" si="21"/>
        <v>-1.7994767441860464</v>
      </c>
      <c r="I46" s="3">
        <f t="shared" si="22"/>
        <v>0</v>
      </c>
      <c r="J46" s="3">
        <f t="shared" si="10"/>
        <v>10.19703488372093</v>
      </c>
      <c r="L46" s="3">
        <f t="shared" si="28"/>
        <v>537.9595173807046</v>
      </c>
      <c r="M46" s="3">
        <f t="shared" si="23"/>
        <v>26.897975869035232</v>
      </c>
      <c r="N46" s="3">
        <f t="shared" si="29"/>
        <v>10.19703488372093</v>
      </c>
      <c r="O46" s="3">
        <f t="shared" si="24"/>
        <v>0</v>
      </c>
      <c r="P46" s="3">
        <f t="shared" si="26"/>
        <v>-4.3036761390456366</v>
      </c>
      <c r="Q46" s="3">
        <f t="shared" si="27"/>
        <v>-0.2</v>
      </c>
      <c r="R46" s="3">
        <f t="shared" si="25"/>
        <v>-4.0346963803552844</v>
      </c>
      <c r="S46" s="3">
        <f t="shared" si="13"/>
        <v>566.51615561405981</v>
      </c>
    </row>
    <row r="47" spans="2:19" x14ac:dyDescent="0.25">
      <c r="B47">
        <f t="shared" si="14"/>
        <v>64</v>
      </c>
      <c r="C47" s="3">
        <f t="shared" si="17"/>
        <v>1</v>
      </c>
      <c r="D47" s="3">
        <f t="shared" si="18"/>
        <v>128.13953488372093</v>
      </c>
      <c r="E47" s="3">
        <f t="shared" si="9"/>
        <v>128.13953488372093</v>
      </c>
      <c r="F47" s="3">
        <f t="shared" si="19"/>
        <v>12.173255813953489</v>
      </c>
      <c r="G47" s="3">
        <f t="shared" si="20"/>
        <v>0</v>
      </c>
      <c r="H47" s="3">
        <f t="shared" si="21"/>
        <v>-1.8259883720930232</v>
      </c>
      <c r="I47" s="3">
        <f t="shared" si="22"/>
        <v>0</v>
      </c>
      <c r="J47" s="3">
        <f t="shared" si="10"/>
        <v>10.347267441860465</v>
      </c>
      <c r="L47" s="3">
        <f t="shared" si="28"/>
        <v>566.51615561405981</v>
      </c>
      <c r="M47" s="3">
        <f t="shared" si="23"/>
        <v>28.325807780702991</v>
      </c>
      <c r="N47" s="3">
        <f t="shared" si="29"/>
        <v>10.347267441860465</v>
      </c>
      <c r="O47" s="3">
        <f t="shared" si="24"/>
        <v>0</v>
      </c>
      <c r="P47" s="3">
        <f t="shared" si="26"/>
        <v>-4.5321292449124781</v>
      </c>
      <c r="Q47" s="3">
        <f t="shared" si="27"/>
        <v>-0.2</v>
      </c>
      <c r="R47" s="3">
        <f t="shared" si="25"/>
        <v>-4.2488711671054489</v>
      </c>
      <c r="S47" s="3">
        <f t="shared" si="13"/>
        <v>596.2082304246054</v>
      </c>
    </row>
    <row r="48" spans="2:19" x14ac:dyDescent="0.25">
      <c r="B48">
        <f t="shared" si="14"/>
        <v>65</v>
      </c>
      <c r="C48" s="3">
        <f t="shared" si="17"/>
        <v>1</v>
      </c>
      <c r="D48" s="3">
        <f t="shared" si="18"/>
        <v>130</v>
      </c>
      <c r="E48" s="3">
        <f t="shared" si="9"/>
        <v>130</v>
      </c>
      <c r="F48" s="3">
        <f t="shared" si="19"/>
        <v>12.35</v>
      </c>
      <c r="G48" s="3">
        <f t="shared" si="20"/>
        <v>0</v>
      </c>
      <c r="H48" s="3">
        <f t="shared" si="21"/>
        <v>-1.8524999999999998</v>
      </c>
      <c r="I48" s="3">
        <f t="shared" si="22"/>
        <v>0</v>
      </c>
      <c r="J48" s="3">
        <f t="shared" si="10"/>
        <v>10.4975</v>
      </c>
      <c r="L48" s="3">
        <f t="shared" si="28"/>
        <v>596.2082304246054</v>
      </c>
      <c r="M48" s="3">
        <f t="shared" si="23"/>
        <v>29.810411521230272</v>
      </c>
      <c r="N48" s="3">
        <f t="shared" si="29"/>
        <v>10.4975</v>
      </c>
      <c r="O48" s="3">
        <f t="shared" si="24"/>
        <v>0</v>
      </c>
      <c r="P48" s="3">
        <f t="shared" si="26"/>
        <v>-4.7696658433968437</v>
      </c>
      <c r="Q48" s="3">
        <f t="shared" si="27"/>
        <v>-0.2</v>
      </c>
      <c r="R48" s="3">
        <f t="shared" si="25"/>
        <v>-4.4715617281845406</v>
      </c>
      <c r="S48" s="3">
        <f t="shared" si="13"/>
        <v>627.07491437425426</v>
      </c>
    </row>
    <row r="49" spans="2:19" x14ac:dyDescent="0.25">
      <c r="B49">
        <f t="shared" si="14"/>
        <v>66</v>
      </c>
      <c r="C49" s="3">
        <f t="shared" si="17"/>
        <v>0</v>
      </c>
      <c r="D49" s="3">
        <f t="shared" si="18"/>
        <v>131.86046511627907</v>
      </c>
      <c r="E49" s="3">
        <f t="shared" si="9"/>
        <v>0</v>
      </c>
      <c r="F49" s="3">
        <f t="shared" si="19"/>
        <v>0</v>
      </c>
      <c r="G49" s="3">
        <f t="shared" si="20"/>
        <v>0</v>
      </c>
      <c r="H49" s="3">
        <f t="shared" si="21"/>
        <v>0</v>
      </c>
      <c r="I49" s="3">
        <f t="shared" si="22"/>
        <v>0</v>
      </c>
      <c r="J49" s="3">
        <f t="shared" si="10"/>
        <v>0</v>
      </c>
      <c r="L49" s="3">
        <f t="shared" si="28"/>
        <v>627.07491437425426</v>
      </c>
      <c r="M49" s="3">
        <f t="shared" si="23"/>
        <v>31.353745718712716</v>
      </c>
      <c r="N49" s="3">
        <f t="shared" si="29"/>
        <v>0</v>
      </c>
      <c r="O49" s="3">
        <f t="shared" si="24"/>
        <v>0</v>
      </c>
      <c r="P49" s="3">
        <f t="shared" si="26"/>
        <v>-5.0165993149940338</v>
      </c>
      <c r="Q49" s="3">
        <f t="shared" si="27"/>
        <v>-0.2</v>
      </c>
      <c r="R49" s="3">
        <f t="shared" si="25"/>
        <v>-4.7030618578069072</v>
      </c>
      <c r="S49" s="3">
        <f t="shared" si="13"/>
        <v>648.50899892016605</v>
      </c>
    </row>
    <row r="50" spans="2:19" x14ac:dyDescent="0.25">
      <c r="B50">
        <f t="shared" si="14"/>
        <v>67</v>
      </c>
      <c r="C50" s="3">
        <f t="shared" si="17"/>
        <v>0</v>
      </c>
      <c r="D50" s="3">
        <f t="shared" si="18"/>
        <v>133.72093023255815</v>
      </c>
      <c r="E50" s="3">
        <f t="shared" si="9"/>
        <v>0</v>
      </c>
      <c r="F50" s="3">
        <f t="shared" si="19"/>
        <v>0</v>
      </c>
      <c r="G50" s="3">
        <f t="shared" si="20"/>
        <v>0</v>
      </c>
      <c r="H50" s="3">
        <f t="shared" si="21"/>
        <v>0</v>
      </c>
      <c r="I50" s="3">
        <f t="shared" si="22"/>
        <v>0</v>
      </c>
      <c r="J50" s="3">
        <f t="shared" si="10"/>
        <v>0</v>
      </c>
      <c r="L50" s="3">
        <f t="shared" si="28"/>
        <v>648.50899892016605</v>
      </c>
      <c r="M50" s="3">
        <f t="shared" si="23"/>
        <v>32.425449946008307</v>
      </c>
      <c r="N50" s="3">
        <f t="shared" si="29"/>
        <v>0</v>
      </c>
      <c r="O50" s="3">
        <f t="shared" si="24"/>
        <v>0</v>
      </c>
      <c r="P50" s="3">
        <f t="shared" si="26"/>
        <v>-5.1880719913613289</v>
      </c>
      <c r="Q50" s="3">
        <f t="shared" si="27"/>
        <v>-0.2</v>
      </c>
      <c r="R50" s="3">
        <f t="shared" si="25"/>
        <v>-4.863817491901246</v>
      </c>
      <c r="S50" s="3">
        <f t="shared" si="13"/>
        <v>670.68255938291168</v>
      </c>
    </row>
    <row r="51" spans="2:19" x14ac:dyDescent="0.25">
      <c r="B51">
        <f t="shared" si="14"/>
        <v>68</v>
      </c>
      <c r="C51" s="3">
        <f t="shared" si="17"/>
        <v>0</v>
      </c>
      <c r="D51" s="3">
        <f t="shared" si="18"/>
        <v>135.58139534883719</v>
      </c>
      <c r="E51" s="3">
        <f t="shared" si="9"/>
        <v>0</v>
      </c>
      <c r="F51" s="3">
        <f t="shared" si="19"/>
        <v>0</v>
      </c>
      <c r="G51" s="3">
        <f t="shared" si="20"/>
        <v>0</v>
      </c>
      <c r="H51" s="3">
        <f t="shared" si="21"/>
        <v>0</v>
      </c>
      <c r="I51" s="3">
        <f t="shared" si="22"/>
        <v>0</v>
      </c>
      <c r="J51" s="3">
        <f t="shared" si="10"/>
        <v>0</v>
      </c>
      <c r="L51" s="3">
        <f t="shared" si="28"/>
        <v>670.68255938291168</v>
      </c>
      <c r="M51" s="3">
        <f t="shared" si="23"/>
        <v>33.534127969145587</v>
      </c>
      <c r="N51" s="3">
        <f t="shared" si="29"/>
        <v>0</v>
      </c>
      <c r="O51" s="3">
        <f t="shared" si="24"/>
        <v>0</v>
      </c>
      <c r="P51" s="3">
        <f t="shared" si="26"/>
        <v>-5.3654604750632933</v>
      </c>
      <c r="Q51" s="3">
        <f t="shared" si="27"/>
        <v>-0.2</v>
      </c>
      <c r="R51" s="3">
        <f t="shared" si="25"/>
        <v>-5.0301191953718378</v>
      </c>
      <c r="S51" s="3">
        <f t="shared" si="13"/>
        <v>693.62110768162211</v>
      </c>
    </row>
    <row r="52" spans="2:19" x14ac:dyDescent="0.25">
      <c r="B52">
        <f t="shared" si="14"/>
        <v>69</v>
      </c>
      <c r="C52" s="3">
        <f t="shared" si="17"/>
        <v>0</v>
      </c>
      <c r="D52" s="3">
        <f t="shared" si="18"/>
        <v>137.44186046511629</v>
      </c>
      <c r="E52" s="3">
        <f t="shared" si="9"/>
        <v>0</v>
      </c>
      <c r="F52" s="3">
        <f t="shared" si="19"/>
        <v>0</v>
      </c>
      <c r="G52" s="3">
        <f t="shared" si="20"/>
        <v>0</v>
      </c>
      <c r="H52" s="3">
        <f t="shared" si="21"/>
        <v>0</v>
      </c>
      <c r="I52" s="3">
        <f t="shared" si="22"/>
        <v>0</v>
      </c>
      <c r="J52" s="3">
        <f t="shared" si="10"/>
        <v>0</v>
      </c>
      <c r="L52" s="3">
        <f t="shared" si="28"/>
        <v>693.62110768162211</v>
      </c>
      <c r="M52" s="3">
        <f t="shared" si="23"/>
        <v>34.681055384081105</v>
      </c>
      <c r="N52" s="3">
        <f t="shared" si="29"/>
        <v>0</v>
      </c>
      <c r="O52" s="3">
        <f t="shared" si="24"/>
        <v>0</v>
      </c>
      <c r="P52" s="3">
        <f t="shared" si="26"/>
        <v>-5.5489688614529769</v>
      </c>
      <c r="Q52" s="3">
        <f t="shared" si="27"/>
        <v>-0.2</v>
      </c>
      <c r="R52" s="3">
        <f t="shared" si="25"/>
        <v>-5.2021583076121658</v>
      </c>
      <c r="S52" s="3">
        <f t="shared" si="13"/>
        <v>717.351035896638</v>
      </c>
    </row>
    <row r="53" spans="2:19" x14ac:dyDescent="0.25">
      <c r="B53">
        <f t="shared" si="14"/>
        <v>70</v>
      </c>
      <c r="C53" s="3">
        <f t="shared" si="17"/>
        <v>0</v>
      </c>
      <c r="D53" s="3">
        <f t="shared" si="18"/>
        <v>139.30232558139534</v>
      </c>
      <c r="E53" s="3">
        <f t="shared" si="9"/>
        <v>0</v>
      </c>
      <c r="F53" s="3">
        <f t="shared" si="19"/>
        <v>0</v>
      </c>
      <c r="G53" s="3">
        <f t="shared" si="20"/>
        <v>0</v>
      </c>
      <c r="H53" s="3">
        <f t="shared" si="21"/>
        <v>0</v>
      </c>
      <c r="I53" s="3">
        <f t="shared" si="22"/>
        <v>0</v>
      </c>
      <c r="J53" s="3">
        <f t="shared" si="10"/>
        <v>0</v>
      </c>
      <c r="L53" s="3">
        <f t="shared" si="28"/>
        <v>717.351035896638</v>
      </c>
      <c r="M53" s="3">
        <f t="shared" si="23"/>
        <v>35.867551794831904</v>
      </c>
      <c r="N53" s="3">
        <f t="shared" si="29"/>
        <v>0</v>
      </c>
      <c r="O53" s="3">
        <f t="shared" si="24"/>
        <v>0</v>
      </c>
      <c r="P53" s="3">
        <f t="shared" si="26"/>
        <v>-5.7388082871731037</v>
      </c>
      <c r="Q53" s="3">
        <f t="shared" si="27"/>
        <v>-0.2</v>
      </c>
      <c r="R53" s="3">
        <f t="shared" si="25"/>
        <v>-5.3801327692247858</v>
      </c>
      <c r="S53" s="3">
        <f t="shared" si="13"/>
        <v>741.89964663507192</v>
      </c>
    </row>
    <row r="54" spans="2:19" x14ac:dyDescent="0.25">
      <c r="B54">
        <f t="shared" si="14"/>
        <v>71</v>
      </c>
      <c r="C54" s="3">
        <f t="shared" si="17"/>
        <v>0</v>
      </c>
      <c r="D54" s="3">
        <f t="shared" si="18"/>
        <v>141.16279069767444</v>
      </c>
      <c r="E54" s="3">
        <f t="shared" si="9"/>
        <v>0</v>
      </c>
      <c r="F54" s="3">
        <f t="shared" si="19"/>
        <v>0</v>
      </c>
      <c r="G54" s="3">
        <f t="shared" si="20"/>
        <v>0</v>
      </c>
      <c r="H54" s="3">
        <f t="shared" si="21"/>
        <v>0</v>
      </c>
      <c r="I54" s="3">
        <f t="shared" si="22"/>
        <v>0</v>
      </c>
      <c r="J54" s="3">
        <f t="shared" si="10"/>
        <v>0</v>
      </c>
      <c r="L54" s="3">
        <f t="shared" si="28"/>
        <v>741.89964663507192</v>
      </c>
      <c r="M54" s="3">
        <f t="shared" si="23"/>
        <v>37.094982331753599</v>
      </c>
      <c r="N54" s="3">
        <f t="shared" si="29"/>
        <v>0</v>
      </c>
      <c r="O54" s="3">
        <f t="shared" si="24"/>
        <v>0</v>
      </c>
      <c r="P54" s="3">
        <f t="shared" si="26"/>
        <v>-5.9351971730805753</v>
      </c>
      <c r="Q54" s="3">
        <f t="shared" si="27"/>
        <v>-0.2</v>
      </c>
      <c r="R54" s="3">
        <f t="shared" si="25"/>
        <v>-5.5642473497630398</v>
      </c>
      <c r="S54" s="3">
        <f t="shared" si="13"/>
        <v>767.29518444398184</v>
      </c>
    </row>
    <row r="55" spans="2:19" x14ac:dyDescent="0.25">
      <c r="B55">
        <f t="shared" si="14"/>
        <v>72</v>
      </c>
      <c r="C55" s="3">
        <f t="shared" si="17"/>
        <v>0</v>
      </c>
      <c r="D55" s="3">
        <f t="shared" si="18"/>
        <v>143.02325581395348</v>
      </c>
      <c r="E55" s="3">
        <f t="shared" si="9"/>
        <v>0</v>
      </c>
      <c r="F55" s="3">
        <f t="shared" si="19"/>
        <v>0</v>
      </c>
      <c r="G55" s="3">
        <f t="shared" si="20"/>
        <v>0</v>
      </c>
      <c r="H55" s="3">
        <f t="shared" si="21"/>
        <v>0</v>
      </c>
      <c r="I55" s="3">
        <f t="shared" si="22"/>
        <v>0</v>
      </c>
      <c r="J55" s="3">
        <f t="shared" si="10"/>
        <v>0</v>
      </c>
      <c r="L55" s="3">
        <f t="shared" si="28"/>
        <v>767.29518444398184</v>
      </c>
      <c r="M55" s="3">
        <f t="shared" si="23"/>
        <v>38.364759222199091</v>
      </c>
      <c r="N55" s="3">
        <f t="shared" si="29"/>
        <v>0</v>
      </c>
      <c r="O55" s="3">
        <f t="shared" si="24"/>
        <v>0</v>
      </c>
      <c r="P55" s="3">
        <f t="shared" si="26"/>
        <v>-6.1383614755518545</v>
      </c>
      <c r="Q55" s="3">
        <f t="shared" si="27"/>
        <v>-0.2</v>
      </c>
      <c r="R55" s="3">
        <f t="shared" si="25"/>
        <v>-5.7547138833298632</v>
      </c>
      <c r="S55" s="3">
        <f t="shared" si="13"/>
        <v>793.56686830729916</v>
      </c>
    </row>
    <row r="56" spans="2:19" x14ac:dyDescent="0.25">
      <c r="B56">
        <f t="shared" si="14"/>
        <v>73</v>
      </c>
      <c r="C56" s="3">
        <f t="shared" si="17"/>
        <v>0</v>
      </c>
      <c r="D56" s="3">
        <f t="shared" si="18"/>
        <v>144.88372093023256</v>
      </c>
      <c r="E56" s="3">
        <f t="shared" si="9"/>
        <v>0</v>
      </c>
      <c r="F56" s="3">
        <f t="shared" si="19"/>
        <v>0</v>
      </c>
      <c r="G56" s="3">
        <f t="shared" si="20"/>
        <v>0</v>
      </c>
      <c r="H56" s="3">
        <f t="shared" si="21"/>
        <v>0</v>
      </c>
      <c r="I56" s="3">
        <f t="shared" si="22"/>
        <v>0</v>
      </c>
      <c r="J56" s="3">
        <f t="shared" si="10"/>
        <v>0</v>
      </c>
      <c r="L56" s="3">
        <f t="shared" si="28"/>
        <v>793.56686830729916</v>
      </c>
      <c r="M56" s="3">
        <f t="shared" si="23"/>
        <v>39.678343415364964</v>
      </c>
      <c r="N56" s="3">
        <f t="shared" si="29"/>
        <v>0</v>
      </c>
      <c r="O56" s="3">
        <f t="shared" si="24"/>
        <v>0</v>
      </c>
      <c r="P56" s="3">
        <f t="shared" si="26"/>
        <v>-6.3485349464583933</v>
      </c>
      <c r="Q56" s="3">
        <f t="shared" si="27"/>
        <v>-0.2</v>
      </c>
      <c r="R56" s="3">
        <f t="shared" si="25"/>
        <v>-5.9517515123047442</v>
      </c>
      <c r="S56" s="3">
        <f t="shared" si="13"/>
        <v>820.744925263901</v>
      </c>
    </row>
    <row r="57" spans="2:19" x14ac:dyDescent="0.25">
      <c r="B57">
        <f t="shared" si="14"/>
        <v>74</v>
      </c>
      <c r="C57" s="3">
        <f t="shared" si="17"/>
        <v>0</v>
      </c>
      <c r="D57" s="3">
        <f t="shared" si="18"/>
        <v>146.74418604651163</v>
      </c>
      <c r="E57" s="3">
        <f t="shared" si="9"/>
        <v>0</v>
      </c>
      <c r="F57" s="3">
        <f t="shared" si="19"/>
        <v>0</v>
      </c>
      <c r="G57" s="3">
        <f t="shared" si="20"/>
        <v>0</v>
      </c>
      <c r="H57" s="3">
        <f t="shared" si="21"/>
        <v>0</v>
      </c>
      <c r="I57" s="3">
        <f t="shared" si="22"/>
        <v>0</v>
      </c>
      <c r="J57" s="3">
        <f t="shared" si="10"/>
        <v>0</v>
      </c>
      <c r="L57" s="3">
        <f t="shared" si="28"/>
        <v>820.744925263901</v>
      </c>
      <c r="M57" s="3">
        <f t="shared" si="23"/>
        <v>41.037246263195051</v>
      </c>
      <c r="N57" s="3">
        <f t="shared" si="29"/>
        <v>0</v>
      </c>
      <c r="O57" s="3">
        <f t="shared" si="24"/>
        <v>0</v>
      </c>
      <c r="P57" s="3">
        <f t="shared" si="26"/>
        <v>-6.5659594021112078</v>
      </c>
      <c r="Q57" s="3">
        <f t="shared" si="27"/>
        <v>-0.2</v>
      </c>
      <c r="R57" s="3">
        <f t="shared" si="25"/>
        <v>-6.1555869394792575</v>
      </c>
      <c r="S57" s="3">
        <f t="shared" si="13"/>
        <v>848.86062518550557</v>
      </c>
    </row>
    <row r="58" spans="2:19" x14ac:dyDescent="0.25">
      <c r="B58">
        <f t="shared" si="14"/>
        <v>75</v>
      </c>
      <c r="C58" s="3">
        <f t="shared" si="17"/>
        <v>0</v>
      </c>
      <c r="D58" s="3">
        <f t="shared" si="18"/>
        <v>148.6046511627907</v>
      </c>
      <c r="E58" s="3">
        <f t="shared" si="9"/>
        <v>0</v>
      </c>
      <c r="F58" s="3">
        <f t="shared" si="19"/>
        <v>0</v>
      </c>
      <c r="G58" s="3">
        <f t="shared" si="20"/>
        <v>0</v>
      </c>
      <c r="H58" s="3">
        <f t="shared" si="21"/>
        <v>0</v>
      </c>
      <c r="I58" s="3">
        <f t="shared" si="22"/>
        <v>0</v>
      </c>
      <c r="J58" s="3">
        <f t="shared" si="10"/>
        <v>0</v>
      </c>
      <c r="L58" s="3">
        <f t="shared" si="28"/>
        <v>848.86062518550557</v>
      </c>
      <c r="M58" s="3">
        <f t="shared" si="23"/>
        <v>42.44303125927528</v>
      </c>
      <c r="N58" s="3">
        <f t="shared" si="29"/>
        <v>0</v>
      </c>
      <c r="O58" s="3">
        <f t="shared" si="24"/>
        <v>0</v>
      </c>
      <c r="P58" s="3">
        <f t="shared" si="26"/>
        <v>-6.7908850014840443</v>
      </c>
      <c r="Q58" s="3">
        <f t="shared" si="27"/>
        <v>-0.2</v>
      </c>
      <c r="R58" s="3">
        <f t="shared" si="25"/>
        <v>-6.3664546888912916</v>
      </c>
      <c r="S58" s="3">
        <f t="shared" si="13"/>
        <v>877.94631675440542</v>
      </c>
    </row>
    <row r="59" spans="2:19" x14ac:dyDescent="0.25">
      <c r="B59">
        <f t="shared" ref="B59:B72" si="30">B58+1</f>
        <v>76</v>
      </c>
      <c r="C59" s="3">
        <f t="shared" si="17"/>
        <v>0</v>
      </c>
      <c r="D59" s="3">
        <f t="shared" si="18"/>
        <v>150.46511627906978</v>
      </c>
      <c r="E59" s="3">
        <f t="shared" ref="E59:E72" si="31">D59*C59</f>
        <v>0</v>
      </c>
      <c r="F59" s="3">
        <f t="shared" si="19"/>
        <v>0</v>
      </c>
      <c r="G59" s="3">
        <f t="shared" si="20"/>
        <v>0</v>
      </c>
      <c r="H59" s="3">
        <f t="shared" si="21"/>
        <v>0</v>
      </c>
      <c r="I59" s="3">
        <f t="shared" si="22"/>
        <v>0</v>
      </c>
      <c r="J59" s="3">
        <f t="shared" si="10"/>
        <v>0</v>
      </c>
      <c r="L59" s="3">
        <f t="shared" ref="L59:L72" si="32">S58</f>
        <v>877.94631675440542</v>
      </c>
      <c r="M59" s="3">
        <f t="shared" si="23"/>
        <v>43.897315837720271</v>
      </c>
      <c r="N59" s="3">
        <f t="shared" ref="N59:N72" si="33">J59</f>
        <v>0</v>
      </c>
      <c r="O59" s="3">
        <f t="shared" si="24"/>
        <v>0</v>
      </c>
      <c r="P59" s="3">
        <f t="shared" si="26"/>
        <v>-7.0235705340352439</v>
      </c>
      <c r="Q59" s="3">
        <f t="shared" si="27"/>
        <v>-0.2</v>
      </c>
      <c r="R59" s="3">
        <f t="shared" si="25"/>
        <v>-6.5845973756580403</v>
      </c>
      <c r="S59" s="3">
        <f t="shared" si="13"/>
        <v>908.03546468243235</v>
      </c>
    </row>
    <row r="60" spans="2:19" x14ac:dyDescent="0.25">
      <c r="B60">
        <f t="shared" si="30"/>
        <v>77</v>
      </c>
      <c r="C60" s="3">
        <f t="shared" si="17"/>
        <v>0</v>
      </c>
      <c r="D60" s="3">
        <f t="shared" si="18"/>
        <v>152.32558139534882</v>
      </c>
      <c r="E60" s="3">
        <f t="shared" si="31"/>
        <v>0</v>
      </c>
      <c r="F60" s="3">
        <f t="shared" si="19"/>
        <v>0</v>
      </c>
      <c r="G60" s="3">
        <f t="shared" si="20"/>
        <v>0</v>
      </c>
      <c r="H60" s="3">
        <f t="shared" si="21"/>
        <v>0</v>
      </c>
      <c r="I60" s="3">
        <f t="shared" si="22"/>
        <v>0</v>
      </c>
      <c r="J60" s="3">
        <f t="shared" si="10"/>
        <v>0</v>
      </c>
      <c r="L60" s="3">
        <f t="shared" si="32"/>
        <v>908.03546468243235</v>
      </c>
      <c r="M60" s="3">
        <f t="shared" si="23"/>
        <v>45.40177323412162</v>
      </c>
      <c r="N60" s="3">
        <f t="shared" si="33"/>
        <v>0</v>
      </c>
      <c r="O60" s="3">
        <f t="shared" si="24"/>
        <v>0</v>
      </c>
      <c r="P60" s="3">
        <f t="shared" si="26"/>
        <v>-7.2642837174594588</v>
      </c>
      <c r="Q60" s="3">
        <f t="shared" si="27"/>
        <v>-0.2</v>
      </c>
      <c r="R60" s="3">
        <f t="shared" si="25"/>
        <v>-6.8102659851182432</v>
      </c>
      <c r="S60" s="3">
        <f t="shared" si="13"/>
        <v>939.16268821397625</v>
      </c>
    </row>
    <row r="61" spans="2:19" x14ac:dyDescent="0.25">
      <c r="B61">
        <f t="shared" si="30"/>
        <v>78</v>
      </c>
      <c r="C61" s="3">
        <f t="shared" si="17"/>
        <v>0</v>
      </c>
      <c r="D61" s="3">
        <f t="shared" si="18"/>
        <v>154.18604651162792</v>
      </c>
      <c r="E61" s="3">
        <f t="shared" si="31"/>
        <v>0</v>
      </c>
      <c r="F61" s="3">
        <f t="shared" si="19"/>
        <v>0</v>
      </c>
      <c r="G61" s="3">
        <f t="shared" si="20"/>
        <v>0</v>
      </c>
      <c r="H61" s="3">
        <f t="shared" si="21"/>
        <v>0</v>
      </c>
      <c r="I61" s="3">
        <f t="shared" si="22"/>
        <v>0</v>
      </c>
      <c r="J61" s="3">
        <f t="shared" si="10"/>
        <v>0</v>
      </c>
      <c r="L61" s="3">
        <f t="shared" si="32"/>
        <v>939.16268821397625</v>
      </c>
      <c r="M61" s="3">
        <f t="shared" si="23"/>
        <v>46.958134410698818</v>
      </c>
      <c r="N61" s="3">
        <f t="shared" si="33"/>
        <v>0</v>
      </c>
      <c r="O61" s="3">
        <f t="shared" si="24"/>
        <v>0</v>
      </c>
      <c r="P61" s="3">
        <f t="shared" si="26"/>
        <v>-7.5133015057118104</v>
      </c>
      <c r="Q61" s="3">
        <f t="shared" si="27"/>
        <v>-0.2</v>
      </c>
      <c r="R61" s="3">
        <f t="shared" si="25"/>
        <v>-7.0437201616048224</v>
      </c>
      <c r="S61" s="3">
        <f t="shared" si="13"/>
        <v>971.36380095735831</v>
      </c>
    </row>
    <row r="62" spans="2:19" x14ac:dyDescent="0.25">
      <c r="B62">
        <f t="shared" si="30"/>
        <v>79</v>
      </c>
      <c r="C62" s="3">
        <f t="shared" si="17"/>
        <v>0</v>
      </c>
      <c r="D62" s="3">
        <f t="shared" si="18"/>
        <v>156.04651162790697</v>
      </c>
      <c r="E62" s="3">
        <f t="shared" si="31"/>
        <v>0</v>
      </c>
      <c r="F62" s="3">
        <f t="shared" si="19"/>
        <v>0</v>
      </c>
      <c r="G62" s="3">
        <f t="shared" si="20"/>
        <v>0</v>
      </c>
      <c r="H62" s="3">
        <f t="shared" si="21"/>
        <v>0</v>
      </c>
      <c r="I62" s="3">
        <f t="shared" si="22"/>
        <v>0</v>
      </c>
      <c r="J62" s="3">
        <f t="shared" si="10"/>
        <v>0</v>
      </c>
      <c r="L62" s="3">
        <f t="shared" si="32"/>
        <v>971.36380095735831</v>
      </c>
      <c r="M62" s="3">
        <f t="shared" si="23"/>
        <v>48.568190047867915</v>
      </c>
      <c r="N62" s="3">
        <f t="shared" si="33"/>
        <v>0</v>
      </c>
      <c r="O62" s="3">
        <f t="shared" si="24"/>
        <v>0</v>
      </c>
      <c r="P62" s="3">
        <f t="shared" si="26"/>
        <v>-7.7709104076588664</v>
      </c>
      <c r="Q62" s="3">
        <f t="shared" si="27"/>
        <v>-0.2</v>
      </c>
      <c r="R62" s="3">
        <f t="shared" si="25"/>
        <v>-7.2852285071801868</v>
      </c>
      <c r="S62" s="3">
        <f t="shared" si="13"/>
        <v>1004.6758520903871</v>
      </c>
    </row>
    <row r="63" spans="2:19" x14ac:dyDescent="0.25">
      <c r="B63">
        <f t="shared" si="30"/>
        <v>80</v>
      </c>
      <c r="C63" s="3">
        <f t="shared" si="17"/>
        <v>0</v>
      </c>
      <c r="D63" s="3">
        <f t="shared" si="18"/>
        <v>157.90697674418607</v>
      </c>
      <c r="E63" s="3">
        <f t="shared" si="31"/>
        <v>0</v>
      </c>
      <c r="F63" s="3">
        <f t="shared" si="19"/>
        <v>0</v>
      </c>
      <c r="G63" s="3">
        <f t="shared" si="20"/>
        <v>0</v>
      </c>
      <c r="H63" s="3">
        <f t="shared" si="21"/>
        <v>0</v>
      </c>
      <c r="I63" s="3">
        <f t="shared" si="22"/>
        <v>0</v>
      </c>
      <c r="J63" s="3">
        <f t="shared" si="10"/>
        <v>0</v>
      </c>
      <c r="L63" s="3">
        <f t="shared" si="32"/>
        <v>1004.6758520903871</v>
      </c>
      <c r="M63" s="3">
        <f t="shared" si="23"/>
        <v>50.233792604519358</v>
      </c>
      <c r="N63" s="3">
        <f t="shared" si="33"/>
        <v>0</v>
      </c>
      <c r="O63" s="3">
        <f t="shared" si="24"/>
        <v>0</v>
      </c>
      <c r="P63" s="3">
        <f t="shared" si="26"/>
        <v>-8.037406816723097</v>
      </c>
      <c r="Q63" s="3">
        <f t="shared" si="27"/>
        <v>-0.2</v>
      </c>
      <c r="R63" s="3">
        <f t="shared" si="25"/>
        <v>-7.5350688906779038</v>
      </c>
      <c r="S63" s="3">
        <f t="shared" si="13"/>
        <v>1039.1371689875054</v>
      </c>
    </row>
    <row r="64" spans="2:19" x14ac:dyDescent="0.25">
      <c r="B64">
        <f t="shared" si="30"/>
        <v>81</v>
      </c>
      <c r="C64" s="3">
        <f t="shared" si="17"/>
        <v>0</v>
      </c>
      <c r="D64" s="3">
        <f t="shared" si="18"/>
        <v>159.76744186046511</v>
      </c>
      <c r="E64" s="3">
        <f t="shared" si="31"/>
        <v>0</v>
      </c>
      <c r="F64" s="3">
        <f t="shared" si="19"/>
        <v>0</v>
      </c>
      <c r="G64" s="3">
        <f t="shared" si="20"/>
        <v>0</v>
      </c>
      <c r="H64" s="3">
        <f t="shared" si="21"/>
        <v>0</v>
      </c>
      <c r="I64" s="3">
        <f t="shared" si="22"/>
        <v>0</v>
      </c>
      <c r="J64" s="3">
        <f t="shared" si="10"/>
        <v>0</v>
      </c>
      <c r="L64" s="3">
        <f t="shared" si="32"/>
        <v>1039.1371689875054</v>
      </c>
      <c r="M64" s="3">
        <f t="shared" si="23"/>
        <v>51.956858449375275</v>
      </c>
      <c r="N64" s="3">
        <f t="shared" si="33"/>
        <v>0</v>
      </c>
      <c r="O64" s="3">
        <f t="shared" si="24"/>
        <v>0</v>
      </c>
      <c r="P64" s="3">
        <f t="shared" si="26"/>
        <v>-8.3130973519000442</v>
      </c>
      <c r="Q64" s="3">
        <f t="shared" si="27"/>
        <v>-0.2</v>
      </c>
      <c r="R64" s="3">
        <f t="shared" si="25"/>
        <v>-7.7935287674062907</v>
      </c>
      <c r="S64" s="3">
        <f t="shared" si="13"/>
        <v>1074.7874013175742</v>
      </c>
    </row>
    <row r="65" spans="2:19" x14ac:dyDescent="0.25">
      <c r="B65">
        <f t="shared" si="30"/>
        <v>82</v>
      </c>
      <c r="C65" s="3">
        <f t="shared" si="17"/>
        <v>0</v>
      </c>
      <c r="D65" s="3">
        <f t="shared" si="18"/>
        <v>161.62790697674419</v>
      </c>
      <c r="E65" s="3">
        <f t="shared" si="31"/>
        <v>0</v>
      </c>
      <c r="F65" s="3">
        <f t="shared" si="19"/>
        <v>0</v>
      </c>
      <c r="G65" s="3">
        <f t="shared" si="20"/>
        <v>0</v>
      </c>
      <c r="H65" s="3">
        <f t="shared" si="21"/>
        <v>0</v>
      </c>
      <c r="I65" s="3">
        <f t="shared" si="22"/>
        <v>0</v>
      </c>
      <c r="J65" s="3">
        <f t="shared" si="10"/>
        <v>0</v>
      </c>
      <c r="L65" s="3">
        <f t="shared" si="32"/>
        <v>1074.7874013175742</v>
      </c>
      <c r="M65" s="3">
        <f t="shared" si="23"/>
        <v>53.739370065878717</v>
      </c>
      <c r="N65" s="3">
        <f t="shared" si="33"/>
        <v>0</v>
      </c>
      <c r="O65" s="3">
        <f t="shared" si="24"/>
        <v>0</v>
      </c>
      <c r="P65" s="3">
        <f t="shared" si="26"/>
        <v>-8.5982992105405938</v>
      </c>
      <c r="Q65" s="3">
        <f t="shared" si="27"/>
        <v>-0.2</v>
      </c>
      <c r="R65" s="3">
        <f t="shared" si="25"/>
        <v>-8.0609055098818079</v>
      </c>
      <c r="S65" s="3">
        <f t="shared" si="13"/>
        <v>1111.6675666630306</v>
      </c>
    </row>
    <row r="66" spans="2:19" x14ac:dyDescent="0.25">
      <c r="B66">
        <f t="shared" si="30"/>
        <v>83</v>
      </c>
      <c r="C66" s="3">
        <f t="shared" si="17"/>
        <v>0</v>
      </c>
      <c r="D66" s="3">
        <f t="shared" si="18"/>
        <v>163.48837209302326</v>
      </c>
      <c r="E66" s="3">
        <f t="shared" si="31"/>
        <v>0</v>
      </c>
      <c r="F66" s="3">
        <f t="shared" si="19"/>
        <v>0</v>
      </c>
      <c r="G66" s="3">
        <f t="shared" si="20"/>
        <v>0</v>
      </c>
      <c r="H66" s="3">
        <f t="shared" si="21"/>
        <v>0</v>
      </c>
      <c r="I66" s="3">
        <f t="shared" si="22"/>
        <v>0</v>
      </c>
      <c r="J66" s="3">
        <f t="shared" si="10"/>
        <v>0</v>
      </c>
      <c r="L66" s="3">
        <f t="shared" si="32"/>
        <v>1111.6675666630306</v>
      </c>
      <c r="M66" s="3">
        <f t="shared" si="23"/>
        <v>55.583378333151529</v>
      </c>
      <c r="N66" s="3">
        <f t="shared" si="33"/>
        <v>0</v>
      </c>
      <c r="O66" s="3">
        <f t="shared" si="24"/>
        <v>0</v>
      </c>
      <c r="P66" s="3">
        <f t="shared" si="26"/>
        <v>-8.8933405333042455</v>
      </c>
      <c r="Q66" s="3">
        <f t="shared" si="27"/>
        <v>-0.2</v>
      </c>
      <c r="R66" s="3">
        <f t="shared" si="25"/>
        <v>-8.3375067499727287</v>
      </c>
      <c r="S66" s="3">
        <f t="shared" si="13"/>
        <v>1149.820097712905</v>
      </c>
    </row>
    <row r="67" spans="2:19" x14ac:dyDescent="0.25">
      <c r="B67">
        <f t="shared" si="30"/>
        <v>84</v>
      </c>
      <c r="C67" s="3">
        <f t="shared" si="17"/>
        <v>0</v>
      </c>
      <c r="D67" s="3">
        <f t="shared" si="18"/>
        <v>165.34883720930233</v>
      </c>
      <c r="E67" s="3">
        <f t="shared" si="31"/>
        <v>0</v>
      </c>
      <c r="F67" s="3">
        <f t="shared" si="19"/>
        <v>0</v>
      </c>
      <c r="G67" s="3">
        <f t="shared" si="20"/>
        <v>0</v>
      </c>
      <c r="H67" s="3">
        <f t="shared" si="21"/>
        <v>0</v>
      </c>
      <c r="I67" s="3">
        <f t="shared" si="22"/>
        <v>0</v>
      </c>
      <c r="J67" s="3">
        <f t="shared" si="10"/>
        <v>0</v>
      </c>
      <c r="L67" s="3">
        <f t="shared" si="32"/>
        <v>1149.820097712905</v>
      </c>
      <c r="M67" s="3">
        <f t="shared" si="23"/>
        <v>57.491004885645253</v>
      </c>
      <c r="N67" s="3">
        <f t="shared" si="33"/>
        <v>0</v>
      </c>
      <c r="O67" s="3">
        <f t="shared" si="24"/>
        <v>0</v>
      </c>
      <c r="P67" s="3">
        <f t="shared" si="26"/>
        <v>-9.1985607817032395</v>
      </c>
      <c r="Q67" s="3">
        <f t="shared" si="27"/>
        <v>-0.2</v>
      </c>
      <c r="R67" s="3">
        <f t="shared" si="25"/>
        <v>-8.6236507328467873</v>
      </c>
      <c r="S67" s="3">
        <f t="shared" si="13"/>
        <v>1189.2888910840002</v>
      </c>
    </row>
    <row r="68" spans="2:19" x14ac:dyDescent="0.25">
      <c r="B68">
        <f t="shared" si="30"/>
        <v>85</v>
      </c>
      <c r="C68" s="3">
        <f t="shared" si="17"/>
        <v>0</v>
      </c>
      <c r="D68" s="3">
        <f t="shared" si="18"/>
        <v>167.2093023255814</v>
      </c>
      <c r="E68" s="3">
        <f t="shared" si="31"/>
        <v>0</v>
      </c>
      <c r="F68" s="3">
        <f t="shared" si="19"/>
        <v>0</v>
      </c>
      <c r="G68" s="3">
        <f t="shared" si="20"/>
        <v>0</v>
      </c>
      <c r="H68" s="3">
        <f t="shared" si="21"/>
        <v>0</v>
      </c>
      <c r="I68" s="3">
        <f t="shared" si="22"/>
        <v>0</v>
      </c>
      <c r="J68" s="3">
        <f t="shared" si="10"/>
        <v>0</v>
      </c>
      <c r="L68" s="3">
        <f t="shared" si="32"/>
        <v>1189.2888910840002</v>
      </c>
      <c r="M68" s="3">
        <f t="shared" si="23"/>
        <v>59.464444554200014</v>
      </c>
      <c r="N68" s="3">
        <f t="shared" si="33"/>
        <v>0</v>
      </c>
      <c r="O68" s="3">
        <f t="shared" si="24"/>
        <v>0</v>
      </c>
      <c r="P68" s="3">
        <f t="shared" si="26"/>
        <v>-9.5143111286720021</v>
      </c>
      <c r="Q68" s="3">
        <f t="shared" si="27"/>
        <v>-0.2</v>
      </c>
      <c r="R68" s="3">
        <f t="shared" si="25"/>
        <v>-8.9196666831300018</v>
      </c>
      <c r="S68" s="3">
        <f t="shared" si="13"/>
        <v>1230.1193578263983</v>
      </c>
    </row>
    <row r="69" spans="2:19" x14ac:dyDescent="0.25">
      <c r="B69">
        <f t="shared" si="30"/>
        <v>86</v>
      </c>
      <c r="C69" s="3">
        <f t="shared" ref="C69:C85" si="34">IF(B69&lt;=Finage,1-(IF(B69&lt;Breakage,0,1)*IF(B69&gt;(Breakage+Breakyrs-1),0,1-Breakfrac)),0)</f>
        <v>0</v>
      </c>
      <c r="D69" s="3">
        <f t="shared" si="18"/>
        <v>169.06976744186045</v>
      </c>
      <c r="E69" s="3">
        <f t="shared" si="31"/>
        <v>0</v>
      </c>
      <c r="F69" s="3">
        <f t="shared" ref="F69:F85" si="35">E69*SGLrate</f>
        <v>0</v>
      </c>
      <c r="G69" s="3">
        <f t="shared" ref="G69:G85" si="36">(IF(Cocont,IF(E69&lt;50.454,IF(E69&lt;35.454,0.5,0.5-(E69-35.454)/35.454),0),0))*C69*2</f>
        <v>0</v>
      </c>
      <c r="H69" s="3">
        <f t="shared" ref="H69:H85" si="37">-F69*Conttax-IF(Concessional,O69*0.15)</f>
        <v>0</v>
      </c>
      <c r="I69" s="3">
        <f t="shared" ref="I69:I85" si="38">IF(Rudd500,IF(E69&lt;=37,IF(-H69&gt;0.5,0.5,-H69),0),0)</f>
        <v>0</v>
      </c>
      <c r="J69" s="3">
        <f t="shared" si="10"/>
        <v>0</v>
      </c>
      <c r="L69" s="3">
        <f t="shared" si="32"/>
        <v>1230.1193578263983</v>
      </c>
      <c r="M69" s="3">
        <f t="shared" ref="M69:M85" si="39">L69*Earn</f>
        <v>61.505967891319919</v>
      </c>
      <c r="N69" s="3">
        <f t="shared" si="33"/>
        <v>0</v>
      </c>
      <c r="O69" s="3">
        <f t="shared" ref="O69:O85" si="40">IF(B69=Lumpage, Lumpsum,0)</f>
        <v>0</v>
      </c>
      <c r="P69" s="3">
        <f t="shared" si="26"/>
        <v>-9.840954862611186</v>
      </c>
      <c r="Q69" s="3">
        <f t="shared" si="27"/>
        <v>-0.2</v>
      </c>
      <c r="R69" s="3">
        <f t="shared" si="25"/>
        <v>-9.2258951836979879</v>
      </c>
      <c r="S69" s="3">
        <f t="shared" si="13"/>
        <v>1272.358475671409</v>
      </c>
    </row>
    <row r="70" spans="2:19" x14ac:dyDescent="0.25">
      <c r="B70">
        <f t="shared" si="30"/>
        <v>87</v>
      </c>
      <c r="C70" s="3">
        <f t="shared" si="34"/>
        <v>0</v>
      </c>
      <c r="D70" s="3">
        <f t="shared" si="18"/>
        <v>170.93023255813955</v>
      </c>
      <c r="E70" s="3">
        <f t="shared" si="31"/>
        <v>0</v>
      </c>
      <c r="F70" s="3">
        <f t="shared" si="35"/>
        <v>0</v>
      </c>
      <c r="G70" s="3">
        <f t="shared" si="36"/>
        <v>0</v>
      </c>
      <c r="H70" s="3">
        <f t="shared" si="37"/>
        <v>0</v>
      </c>
      <c r="I70" s="3">
        <f t="shared" si="38"/>
        <v>0</v>
      </c>
      <c r="J70" s="3">
        <f t="shared" ref="J70:J85" si="41">F70+G70+H70+I70</f>
        <v>0</v>
      </c>
      <c r="L70" s="3">
        <f t="shared" si="32"/>
        <v>1272.358475671409</v>
      </c>
      <c r="M70" s="3">
        <f t="shared" si="39"/>
        <v>63.617923783570454</v>
      </c>
      <c r="N70" s="3">
        <f t="shared" si="33"/>
        <v>0</v>
      </c>
      <c r="O70" s="3">
        <f t="shared" si="40"/>
        <v>0</v>
      </c>
      <c r="P70" s="3">
        <f t="shared" ref="P70:P85" si="42">IF(SMSF,(IF(L70&lt;SMSFthres,-L70*Perfees,0)),-L70*Perfees)</f>
        <v>-10.178867805371272</v>
      </c>
      <c r="Q70" s="3">
        <f t="shared" ref="Q70:Q85" si="43">IF(SMSF,(IF(L70&lt;SMSFthres,-Fixfees/1000,-SMSFfees/1000)),-Fixfees/1000)</f>
        <v>-0.2</v>
      </c>
      <c r="R70" s="3">
        <f t="shared" si="25"/>
        <v>-9.542688567535567</v>
      </c>
      <c r="S70" s="3">
        <f t="shared" ref="S70:S85" si="44">L70+M70+N70+O70+P70+Q70+R70</f>
        <v>1316.0548430820725</v>
      </c>
    </row>
    <row r="71" spans="2:19" x14ac:dyDescent="0.25">
      <c r="B71">
        <f t="shared" si="30"/>
        <v>88</v>
      </c>
      <c r="C71" s="3">
        <f t="shared" si="34"/>
        <v>0</v>
      </c>
      <c r="D71" s="3">
        <f t="shared" si="18"/>
        <v>172.7906976744186</v>
      </c>
      <c r="E71" s="3">
        <f t="shared" si="31"/>
        <v>0</v>
      </c>
      <c r="F71" s="3">
        <f t="shared" si="35"/>
        <v>0</v>
      </c>
      <c r="G71" s="3">
        <f t="shared" si="36"/>
        <v>0</v>
      </c>
      <c r="H71" s="3">
        <f t="shared" si="37"/>
        <v>0</v>
      </c>
      <c r="I71" s="3">
        <f t="shared" si="38"/>
        <v>0</v>
      </c>
      <c r="J71" s="3">
        <f t="shared" si="41"/>
        <v>0</v>
      </c>
      <c r="L71" s="3">
        <f t="shared" si="32"/>
        <v>1316.0548430820725</v>
      </c>
      <c r="M71" s="3">
        <f t="shared" si="39"/>
        <v>65.802742154103626</v>
      </c>
      <c r="N71" s="3">
        <f t="shared" si="33"/>
        <v>0</v>
      </c>
      <c r="O71" s="3">
        <f t="shared" si="40"/>
        <v>0</v>
      </c>
      <c r="P71" s="3">
        <f t="shared" si="42"/>
        <v>-10.528438744656579</v>
      </c>
      <c r="Q71" s="3">
        <f t="shared" si="43"/>
        <v>-0.2</v>
      </c>
      <c r="R71" s="3">
        <f t="shared" si="25"/>
        <v>-9.8704113231155439</v>
      </c>
      <c r="S71" s="3">
        <f t="shared" si="44"/>
        <v>1361.258735168404</v>
      </c>
    </row>
    <row r="72" spans="2:19" x14ac:dyDescent="0.25">
      <c r="B72">
        <f t="shared" si="30"/>
        <v>89</v>
      </c>
      <c r="C72" s="3">
        <f t="shared" si="34"/>
        <v>0</v>
      </c>
      <c r="D72" s="3">
        <f t="shared" si="18"/>
        <v>174.65116279069767</v>
      </c>
      <c r="E72" s="3">
        <f t="shared" si="31"/>
        <v>0</v>
      </c>
      <c r="F72" s="3">
        <f t="shared" si="35"/>
        <v>0</v>
      </c>
      <c r="G72" s="3">
        <f t="shared" si="36"/>
        <v>0</v>
      </c>
      <c r="H72" s="3">
        <f t="shared" si="37"/>
        <v>0</v>
      </c>
      <c r="I72" s="3">
        <f t="shared" si="38"/>
        <v>0</v>
      </c>
      <c r="J72" s="3">
        <f t="shared" si="41"/>
        <v>0</v>
      </c>
      <c r="L72" s="3">
        <f t="shared" si="32"/>
        <v>1361.258735168404</v>
      </c>
      <c r="M72" s="3">
        <f t="shared" si="39"/>
        <v>68.062936758420207</v>
      </c>
      <c r="N72" s="3">
        <f t="shared" si="33"/>
        <v>0</v>
      </c>
      <c r="O72" s="3">
        <f t="shared" si="40"/>
        <v>0</v>
      </c>
      <c r="P72" s="3">
        <f t="shared" si="42"/>
        <v>-10.890069881347232</v>
      </c>
      <c r="Q72" s="3">
        <f t="shared" si="43"/>
        <v>-0.2</v>
      </c>
      <c r="R72" s="3">
        <f t="shared" si="25"/>
        <v>-10.209440513763031</v>
      </c>
      <c r="S72" s="3">
        <f t="shared" si="44"/>
        <v>1408.0221615317139</v>
      </c>
    </row>
    <row r="73" spans="2:19" x14ac:dyDescent="0.25">
      <c r="B73">
        <f t="shared" ref="B73:B83" si="45">B72+1</f>
        <v>90</v>
      </c>
      <c r="C73" s="3">
        <f t="shared" si="34"/>
        <v>0</v>
      </c>
      <c r="D73" s="3">
        <f t="shared" ref="D73:D83" si="46">Commsal+((Finsal-Commsal)*(B73-Commage)/(Finage-Commage))</f>
        <v>176.51162790697674</v>
      </c>
      <c r="E73" s="3">
        <f t="shared" ref="E73:E83" si="47">D73*C73</f>
        <v>0</v>
      </c>
      <c r="F73" s="3">
        <f t="shared" si="35"/>
        <v>0</v>
      </c>
      <c r="G73" s="3">
        <f t="shared" si="36"/>
        <v>0</v>
      </c>
      <c r="H73" s="3">
        <f t="shared" si="37"/>
        <v>0</v>
      </c>
      <c r="I73" s="3">
        <f t="shared" si="38"/>
        <v>0</v>
      </c>
      <c r="J73" s="3">
        <f t="shared" si="41"/>
        <v>0</v>
      </c>
      <c r="L73" s="3">
        <f t="shared" ref="L73:L83" si="48">S72</f>
        <v>1408.0221615317139</v>
      </c>
      <c r="M73" s="3">
        <f t="shared" si="39"/>
        <v>70.4011080765857</v>
      </c>
      <c r="N73" s="3">
        <f t="shared" ref="N73:N83" si="49">J73</f>
        <v>0</v>
      </c>
      <c r="O73" s="3">
        <f t="shared" si="40"/>
        <v>0</v>
      </c>
      <c r="P73" s="3">
        <f t="shared" si="42"/>
        <v>-11.264177292253711</v>
      </c>
      <c r="Q73" s="3">
        <f t="shared" si="43"/>
        <v>-0.2</v>
      </c>
      <c r="R73" s="3">
        <f t="shared" ref="R73:R83" si="50">-M73*Earntax</f>
        <v>-10.560166211487855</v>
      </c>
      <c r="S73" s="3">
        <f t="shared" si="44"/>
        <v>1456.3989261045579</v>
      </c>
    </row>
    <row r="74" spans="2:19" x14ac:dyDescent="0.25">
      <c r="B74">
        <f t="shared" si="45"/>
        <v>91</v>
      </c>
      <c r="C74" s="3">
        <f t="shared" si="34"/>
        <v>0</v>
      </c>
      <c r="D74" s="3">
        <f t="shared" si="46"/>
        <v>178.37209302325581</v>
      </c>
      <c r="E74" s="3">
        <f t="shared" si="47"/>
        <v>0</v>
      </c>
      <c r="F74" s="3">
        <f t="shared" si="35"/>
        <v>0</v>
      </c>
      <c r="G74" s="3">
        <f t="shared" si="36"/>
        <v>0</v>
      </c>
      <c r="H74" s="3">
        <f t="shared" si="37"/>
        <v>0</v>
      </c>
      <c r="I74" s="3">
        <f t="shared" si="38"/>
        <v>0</v>
      </c>
      <c r="J74" s="3">
        <f t="shared" si="41"/>
        <v>0</v>
      </c>
      <c r="L74" s="3">
        <f t="shared" si="48"/>
        <v>1456.3989261045579</v>
      </c>
      <c r="M74" s="3">
        <f t="shared" si="39"/>
        <v>72.819946305227901</v>
      </c>
      <c r="N74" s="3">
        <f t="shared" si="49"/>
        <v>0</v>
      </c>
      <c r="O74" s="3">
        <f t="shared" si="40"/>
        <v>0</v>
      </c>
      <c r="P74" s="3">
        <f t="shared" si="42"/>
        <v>-11.651191408836462</v>
      </c>
      <c r="Q74" s="3">
        <f t="shared" si="43"/>
        <v>-0.2</v>
      </c>
      <c r="R74" s="3">
        <f t="shared" si="50"/>
        <v>-10.922991945784185</v>
      </c>
      <c r="S74" s="3">
        <f t="shared" si="44"/>
        <v>1506.4446890551651</v>
      </c>
    </row>
    <row r="75" spans="2:19" x14ac:dyDescent="0.25">
      <c r="B75">
        <f t="shared" si="45"/>
        <v>92</v>
      </c>
      <c r="C75" s="3">
        <f t="shared" si="34"/>
        <v>0</v>
      </c>
      <c r="D75" s="3">
        <f t="shared" si="46"/>
        <v>180.23255813953489</v>
      </c>
      <c r="E75" s="3">
        <f t="shared" si="47"/>
        <v>0</v>
      </c>
      <c r="F75" s="3">
        <f t="shared" si="35"/>
        <v>0</v>
      </c>
      <c r="G75" s="3">
        <f t="shared" si="36"/>
        <v>0</v>
      </c>
      <c r="H75" s="3">
        <f t="shared" si="37"/>
        <v>0</v>
      </c>
      <c r="I75" s="3">
        <f t="shared" si="38"/>
        <v>0</v>
      </c>
      <c r="J75" s="3">
        <f t="shared" si="41"/>
        <v>0</v>
      </c>
      <c r="L75" s="3">
        <f t="shared" si="48"/>
        <v>1506.4446890551651</v>
      </c>
      <c r="M75" s="3">
        <f t="shared" si="39"/>
        <v>75.322234452758252</v>
      </c>
      <c r="N75" s="3">
        <f t="shared" si="49"/>
        <v>0</v>
      </c>
      <c r="O75" s="3">
        <f t="shared" si="40"/>
        <v>0</v>
      </c>
      <c r="P75" s="3">
        <f t="shared" si="42"/>
        <v>-12.05155751244132</v>
      </c>
      <c r="Q75" s="3">
        <f t="shared" si="43"/>
        <v>-0.2</v>
      </c>
      <c r="R75" s="3">
        <f t="shared" si="50"/>
        <v>-11.298335167913738</v>
      </c>
      <c r="S75" s="3">
        <f t="shared" si="44"/>
        <v>1558.2170308275681</v>
      </c>
    </row>
    <row r="76" spans="2:19" x14ac:dyDescent="0.25">
      <c r="B76">
        <f t="shared" si="45"/>
        <v>93</v>
      </c>
      <c r="C76" s="3">
        <f t="shared" si="34"/>
        <v>0</v>
      </c>
      <c r="D76" s="3">
        <f t="shared" si="46"/>
        <v>182.09302325581396</v>
      </c>
      <c r="E76" s="3">
        <f t="shared" si="47"/>
        <v>0</v>
      </c>
      <c r="F76" s="3">
        <f t="shared" si="35"/>
        <v>0</v>
      </c>
      <c r="G76" s="3">
        <f t="shared" si="36"/>
        <v>0</v>
      </c>
      <c r="H76" s="3">
        <f t="shared" si="37"/>
        <v>0</v>
      </c>
      <c r="I76" s="3">
        <f t="shared" si="38"/>
        <v>0</v>
      </c>
      <c r="J76" s="3">
        <f t="shared" si="41"/>
        <v>0</v>
      </c>
      <c r="L76" s="3">
        <f t="shared" si="48"/>
        <v>1558.2170308275681</v>
      </c>
      <c r="M76" s="3">
        <f t="shared" si="39"/>
        <v>77.910851541378406</v>
      </c>
      <c r="N76" s="3">
        <f t="shared" si="49"/>
        <v>0</v>
      </c>
      <c r="O76" s="3">
        <f t="shared" si="40"/>
        <v>0</v>
      </c>
      <c r="P76" s="3">
        <f t="shared" si="42"/>
        <v>-12.465736246620546</v>
      </c>
      <c r="Q76" s="3">
        <f t="shared" si="43"/>
        <v>-0.2</v>
      </c>
      <c r="R76" s="3">
        <f t="shared" si="50"/>
        <v>-11.686627731206761</v>
      </c>
      <c r="S76" s="3">
        <f t="shared" si="44"/>
        <v>1611.7755183911192</v>
      </c>
    </row>
    <row r="77" spans="2:19" x14ac:dyDescent="0.25">
      <c r="B77">
        <f t="shared" si="45"/>
        <v>94</v>
      </c>
      <c r="C77" s="3">
        <f t="shared" si="34"/>
        <v>0</v>
      </c>
      <c r="D77" s="3">
        <f t="shared" si="46"/>
        <v>183.95348837209303</v>
      </c>
      <c r="E77" s="3">
        <f t="shared" si="47"/>
        <v>0</v>
      </c>
      <c r="F77" s="3">
        <f t="shared" si="35"/>
        <v>0</v>
      </c>
      <c r="G77" s="3">
        <f t="shared" si="36"/>
        <v>0</v>
      </c>
      <c r="H77" s="3">
        <f t="shared" si="37"/>
        <v>0</v>
      </c>
      <c r="I77" s="3">
        <f t="shared" si="38"/>
        <v>0</v>
      </c>
      <c r="J77" s="3">
        <f t="shared" si="41"/>
        <v>0</v>
      </c>
      <c r="L77" s="3">
        <f t="shared" si="48"/>
        <v>1611.7755183911192</v>
      </c>
      <c r="M77" s="3">
        <f t="shared" si="39"/>
        <v>80.588775919555971</v>
      </c>
      <c r="N77" s="3">
        <f t="shared" si="49"/>
        <v>0</v>
      </c>
      <c r="O77" s="3">
        <f t="shared" si="40"/>
        <v>0</v>
      </c>
      <c r="P77" s="3">
        <f t="shared" si="42"/>
        <v>-12.894204147128955</v>
      </c>
      <c r="Q77" s="3">
        <f t="shared" si="43"/>
        <v>-0.2</v>
      </c>
      <c r="R77" s="3">
        <f t="shared" si="50"/>
        <v>-12.088316387933395</v>
      </c>
      <c r="S77" s="3">
        <f t="shared" si="44"/>
        <v>1667.1817737756128</v>
      </c>
    </row>
    <row r="78" spans="2:19" x14ac:dyDescent="0.25">
      <c r="B78">
        <f t="shared" si="45"/>
        <v>95</v>
      </c>
      <c r="C78" s="3">
        <f t="shared" si="34"/>
        <v>0</v>
      </c>
      <c r="D78" s="3">
        <f t="shared" si="46"/>
        <v>185.81395348837211</v>
      </c>
      <c r="E78" s="3">
        <f t="shared" si="47"/>
        <v>0</v>
      </c>
      <c r="F78" s="3">
        <f t="shared" si="35"/>
        <v>0</v>
      </c>
      <c r="G78" s="3">
        <f t="shared" si="36"/>
        <v>0</v>
      </c>
      <c r="H78" s="3">
        <f t="shared" si="37"/>
        <v>0</v>
      </c>
      <c r="I78" s="3">
        <f t="shared" si="38"/>
        <v>0</v>
      </c>
      <c r="J78" s="3">
        <f t="shared" si="41"/>
        <v>0</v>
      </c>
      <c r="L78" s="3">
        <f t="shared" si="48"/>
        <v>1667.1817737756128</v>
      </c>
      <c r="M78" s="3">
        <f t="shared" si="39"/>
        <v>83.359088688780645</v>
      </c>
      <c r="N78" s="3">
        <f t="shared" si="49"/>
        <v>0</v>
      </c>
      <c r="O78" s="3">
        <f t="shared" si="40"/>
        <v>0</v>
      </c>
      <c r="P78" s="3">
        <f t="shared" si="42"/>
        <v>-13.337454190204902</v>
      </c>
      <c r="Q78" s="3">
        <f t="shared" si="43"/>
        <v>-0.2</v>
      </c>
      <c r="R78" s="3">
        <f t="shared" si="50"/>
        <v>-12.503863303317097</v>
      </c>
      <c r="S78" s="3">
        <f t="shared" si="44"/>
        <v>1724.4995449708715</v>
      </c>
    </row>
    <row r="79" spans="2:19" x14ac:dyDescent="0.25">
      <c r="B79">
        <f t="shared" si="45"/>
        <v>96</v>
      </c>
      <c r="C79" s="3">
        <f t="shared" si="34"/>
        <v>0</v>
      </c>
      <c r="D79" s="3">
        <f t="shared" si="46"/>
        <v>187.67441860465115</v>
      </c>
      <c r="E79" s="3">
        <f t="shared" si="47"/>
        <v>0</v>
      </c>
      <c r="F79" s="3">
        <f t="shared" si="35"/>
        <v>0</v>
      </c>
      <c r="G79" s="3">
        <f t="shared" si="36"/>
        <v>0</v>
      </c>
      <c r="H79" s="3">
        <f t="shared" si="37"/>
        <v>0</v>
      </c>
      <c r="I79" s="3">
        <f t="shared" si="38"/>
        <v>0</v>
      </c>
      <c r="J79" s="3">
        <f t="shared" si="41"/>
        <v>0</v>
      </c>
      <c r="L79" s="3">
        <f t="shared" si="48"/>
        <v>1724.4995449708715</v>
      </c>
      <c r="M79" s="3">
        <f t="shared" si="39"/>
        <v>86.224977248543581</v>
      </c>
      <c r="N79" s="3">
        <f t="shared" si="49"/>
        <v>0</v>
      </c>
      <c r="O79" s="3">
        <f t="shared" si="40"/>
        <v>0</v>
      </c>
      <c r="P79" s="3">
        <f t="shared" si="42"/>
        <v>-13.795996359766972</v>
      </c>
      <c r="Q79" s="3">
        <f t="shared" si="43"/>
        <v>-0.2</v>
      </c>
      <c r="R79" s="3">
        <f t="shared" si="50"/>
        <v>-12.933746587281536</v>
      </c>
      <c r="S79" s="3">
        <f t="shared" si="44"/>
        <v>1783.7947792723664</v>
      </c>
    </row>
    <row r="80" spans="2:19" x14ac:dyDescent="0.25">
      <c r="B80">
        <f t="shared" si="45"/>
        <v>97</v>
      </c>
      <c r="C80" s="3">
        <f t="shared" si="34"/>
        <v>0</v>
      </c>
      <c r="D80" s="3">
        <f t="shared" si="46"/>
        <v>189.53488372093022</v>
      </c>
      <c r="E80" s="3">
        <f t="shared" si="47"/>
        <v>0</v>
      </c>
      <c r="F80" s="3">
        <f t="shared" si="35"/>
        <v>0</v>
      </c>
      <c r="G80" s="3">
        <f t="shared" si="36"/>
        <v>0</v>
      </c>
      <c r="H80" s="3">
        <f t="shared" si="37"/>
        <v>0</v>
      </c>
      <c r="I80" s="3">
        <f t="shared" si="38"/>
        <v>0</v>
      </c>
      <c r="J80" s="3">
        <f t="shared" si="41"/>
        <v>0</v>
      </c>
      <c r="L80" s="3">
        <f t="shared" si="48"/>
        <v>1783.7947792723664</v>
      </c>
      <c r="M80" s="3">
        <f t="shared" si="39"/>
        <v>89.189738963618325</v>
      </c>
      <c r="N80" s="3">
        <f t="shared" si="49"/>
        <v>0</v>
      </c>
      <c r="O80" s="3">
        <f t="shared" si="40"/>
        <v>0</v>
      </c>
      <c r="P80" s="3">
        <f t="shared" si="42"/>
        <v>-14.270358234178932</v>
      </c>
      <c r="Q80" s="3">
        <f t="shared" si="43"/>
        <v>-0.2</v>
      </c>
      <c r="R80" s="3">
        <f t="shared" si="50"/>
        <v>-13.378460844542749</v>
      </c>
      <c r="S80" s="3">
        <f t="shared" si="44"/>
        <v>1845.1356991572629</v>
      </c>
    </row>
    <row r="81" spans="2:19" x14ac:dyDescent="0.25">
      <c r="B81">
        <f t="shared" si="45"/>
        <v>98</v>
      </c>
      <c r="C81" s="3">
        <f t="shared" si="34"/>
        <v>0</v>
      </c>
      <c r="D81" s="3">
        <f t="shared" si="46"/>
        <v>191.3953488372093</v>
      </c>
      <c r="E81" s="3">
        <f t="shared" si="47"/>
        <v>0</v>
      </c>
      <c r="F81" s="3">
        <f t="shared" si="35"/>
        <v>0</v>
      </c>
      <c r="G81" s="3">
        <f t="shared" si="36"/>
        <v>0</v>
      </c>
      <c r="H81" s="3">
        <f t="shared" si="37"/>
        <v>0</v>
      </c>
      <c r="I81" s="3">
        <f t="shared" si="38"/>
        <v>0</v>
      </c>
      <c r="J81" s="3">
        <f t="shared" si="41"/>
        <v>0</v>
      </c>
      <c r="L81" s="3">
        <f t="shared" si="48"/>
        <v>1845.1356991572629</v>
      </c>
      <c r="M81" s="3">
        <f t="shared" si="39"/>
        <v>92.256784957863147</v>
      </c>
      <c r="N81" s="3">
        <f t="shared" si="49"/>
        <v>0</v>
      </c>
      <c r="O81" s="3">
        <f t="shared" si="40"/>
        <v>0</v>
      </c>
      <c r="P81" s="3">
        <f t="shared" si="42"/>
        <v>-14.761085593258104</v>
      </c>
      <c r="Q81" s="3">
        <f t="shared" si="43"/>
        <v>-0.2</v>
      </c>
      <c r="R81" s="3">
        <f t="shared" si="50"/>
        <v>-13.838517743679471</v>
      </c>
      <c r="S81" s="3">
        <f t="shared" si="44"/>
        <v>1908.5928807781886</v>
      </c>
    </row>
    <row r="82" spans="2:19" x14ac:dyDescent="0.25">
      <c r="B82">
        <f t="shared" si="45"/>
        <v>99</v>
      </c>
      <c r="C82" s="3">
        <f t="shared" si="34"/>
        <v>0</v>
      </c>
      <c r="D82" s="3">
        <f t="shared" si="46"/>
        <v>193.25581395348837</v>
      </c>
      <c r="E82" s="3">
        <f t="shared" si="47"/>
        <v>0</v>
      </c>
      <c r="F82" s="3">
        <f t="shared" si="35"/>
        <v>0</v>
      </c>
      <c r="G82" s="3">
        <f t="shared" si="36"/>
        <v>0</v>
      </c>
      <c r="H82" s="3">
        <f t="shared" si="37"/>
        <v>0</v>
      </c>
      <c r="I82" s="3">
        <f t="shared" si="38"/>
        <v>0</v>
      </c>
      <c r="J82" s="3">
        <f t="shared" si="41"/>
        <v>0</v>
      </c>
      <c r="L82" s="3">
        <f t="shared" si="48"/>
        <v>1908.5928807781886</v>
      </c>
      <c r="M82" s="3">
        <f t="shared" si="39"/>
        <v>95.42964403890943</v>
      </c>
      <c r="N82" s="3">
        <f t="shared" si="49"/>
        <v>0</v>
      </c>
      <c r="O82" s="3">
        <f t="shared" si="40"/>
        <v>0</v>
      </c>
      <c r="P82" s="3">
        <f t="shared" si="42"/>
        <v>-15.268743046225509</v>
      </c>
      <c r="Q82" s="3">
        <f t="shared" si="43"/>
        <v>-0.2</v>
      </c>
      <c r="R82" s="3">
        <f t="shared" si="50"/>
        <v>-14.314446605836414</v>
      </c>
      <c r="S82" s="3">
        <f t="shared" si="44"/>
        <v>1974.239335165036</v>
      </c>
    </row>
    <row r="83" spans="2:19" x14ac:dyDescent="0.25">
      <c r="B83">
        <f t="shared" si="45"/>
        <v>100</v>
      </c>
      <c r="C83" s="3">
        <f t="shared" si="34"/>
        <v>0</v>
      </c>
      <c r="D83" s="3">
        <f t="shared" si="46"/>
        <v>195.11627906976744</v>
      </c>
      <c r="E83" s="3">
        <f t="shared" si="47"/>
        <v>0</v>
      </c>
      <c r="F83" s="3">
        <f t="shared" si="35"/>
        <v>0</v>
      </c>
      <c r="G83" s="3">
        <f t="shared" si="36"/>
        <v>0</v>
      </c>
      <c r="H83" s="3">
        <f t="shared" si="37"/>
        <v>0</v>
      </c>
      <c r="I83" s="3">
        <f t="shared" si="38"/>
        <v>0</v>
      </c>
      <c r="J83" s="3">
        <f t="shared" si="41"/>
        <v>0</v>
      </c>
      <c r="L83" s="3">
        <f t="shared" si="48"/>
        <v>1974.239335165036</v>
      </c>
      <c r="M83" s="3">
        <f t="shared" si="39"/>
        <v>98.711966758251805</v>
      </c>
      <c r="N83" s="3">
        <f t="shared" si="49"/>
        <v>0</v>
      </c>
      <c r="O83" s="3">
        <f t="shared" si="40"/>
        <v>0</v>
      </c>
      <c r="P83" s="3">
        <f t="shared" si="42"/>
        <v>-15.793914681320288</v>
      </c>
      <c r="Q83" s="3">
        <f t="shared" si="43"/>
        <v>-0.2</v>
      </c>
      <c r="R83" s="3">
        <f t="shared" si="50"/>
        <v>-14.806795013737769</v>
      </c>
      <c r="S83" s="3">
        <f t="shared" si="44"/>
        <v>2042.1505922282299</v>
      </c>
    </row>
    <row r="84" spans="2:19" x14ac:dyDescent="0.25">
      <c r="B84">
        <f>B83+1</f>
        <v>101</v>
      </c>
      <c r="C84" s="3">
        <f t="shared" si="34"/>
        <v>0</v>
      </c>
      <c r="D84" s="3">
        <f>Commsal+((Finsal-Commsal)*(B84-Commage)/(Finage-Commage))</f>
        <v>196.97674418604652</v>
      </c>
      <c r="E84" s="3">
        <f>D84*C84</f>
        <v>0</v>
      </c>
      <c r="F84" s="3">
        <f t="shared" si="35"/>
        <v>0</v>
      </c>
      <c r="G84" s="3">
        <f t="shared" si="36"/>
        <v>0</v>
      </c>
      <c r="H84" s="3">
        <f t="shared" si="37"/>
        <v>0</v>
      </c>
      <c r="I84" s="3">
        <f t="shared" si="38"/>
        <v>0</v>
      </c>
      <c r="J84" s="3">
        <f t="shared" si="41"/>
        <v>0</v>
      </c>
      <c r="L84" s="3">
        <f>S83</f>
        <v>2042.1505922282299</v>
      </c>
      <c r="M84" s="3">
        <f t="shared" si="39"/>
        <v>102.10752961141151</v>
      </c>
      <c r="N84" s="3">
        <f>J84</f>
        <v>0</v>
      </c>
      <c r="O84" s="3">
        <f t="shared" si="40"/>
        <v>0</v>
      </c>
      <c r="P84" s="3">
        <f t="shared" si="42"/>
        <v>-16.337204737825839</v>
      </c>
      <c r="Q84" s="3">
        <f t="shared" si="43"/>
        <v>-0.2</v>
      </c>
      <c r="R84" s="3">
        <f>-M84*Earntax</f>
        <v>-15.316129441711725</v>
      </c>
      <c r="S84" s="3">
        <f t="shared" si="44"/>
        <v>2112.4047876601039</v>
      </c>
    </row>
    <row r="85" spans="2:19" x14ac:dyDescent="0.25">
      <c r="B85">
        <f>B84+1</f>
        <v>102</v>
      </c>
      <c r="C85" s="3">
        <f t="shared" si="34"/>
        <v>0</v>
      </c>
      <c r="D85" s="3">
        <f>Commsal+((Finsal-Commsal)*(B85-Commage)/(Finage-Commage))</f>
        <v>198.83720930232559</v>
      </c>
      <c r="E85" s="3">
        <f>D85*C85</f>
        <v>0</v>
      </c>
      <c r="F85" s="3">
        <f t="shared" si="35"/>
        <v>0</v>
      </c>
      <c r="G85" s="3">
        <f t="shared" si="36"/>
        <v>0</v>
      </c>
      <c r="H85" s="3">
        <f t="shared" si="37"/>
        <v>0</v>
      </c>
      <c r="I85" s="3">
        <f t="shared" si="38"/>
        <v>0</v>
      </c>
      <c r="J85" s="3">
        <f t="shared" si="41"/>
        <v>0</v>
      </c>
      <c r="L85" s="3">
        <f>S84</f>
        <v>2112.4047876601039</v>
      </c>
      <c r="M85" s="3">
        <f t="shared" si="39"/>
        <v>105.6202393830052</v>
      </c>
      <c r="N85" s="3">
        <f>J85</f>
        <v>0</v>
      </c>
      <c r="O85" s="3">
        <f t="shared" si="40"/>
        <v>0</v>
      </c>
      <c r="P85" s="3">
        <f t="shared" si="42"/>
        <v>-16.899238301280832</v>
      </c>
      <c r="Q85" s="3">
        <f t="shared" si="43"/>
        <v>-0.2</v>
      </c>
      <c r="R85" s="3">
        <f>-M85*Earntax</f>
        <v>-15.84303590745078</v>
      </c>
      <c r="S85" s="3">
        <f t="shared" si="44"/>
        <v>2185.0827528343775</v>
      </c>
    </row>
    <row r="86" spans="2:19" x14ac:dyDescent="0.25">
      <c r="C86" s="3"/>
      <c r="D86" s="3"/>
      <c r="E86" s="3"/>
      <c r="F86" s="3"/>
      <c r="H86" s="3"/>
      <c r="I86" s="3"/>
      <c r="J86" s="3"/>
      <c r="L86" s="3"/>
      <c r="M86" s="3"/>
      <c r="N86" s="3"/>
      <c r="O86" s="3"/>
      <c r="P86" s="3"/>
      <c r="Q86" s="3"/>
      <c r="R86" s="3"/>
      <c r="S86" s="3"/>
    </row>
    <row r="87" spans="2:19" x14ac:dyDescent="0.25">
      <c r="C87" s="3"/>
      <c r="D87" s="3"/>
      <c r="E87" s="3"/>
      <c r="F87" s="3"/>
      <c r="H87" s="3"/>
      <c r="I87" s="3"/>
      <c r="J87" s="3"/>
      <c r="L87" s="3"/>
      <c r="M87" s="3"/>
      <c r="N87" s="3"/>
      <c r="O87" s="3"/>
      <c r="P87" s="3"/>
      <c r="Q87" s="3"/>
      <c r="R87" s="3"/>
      <c r="S87" s="3"/>
    </row>
    <row r="88" spans="2:19" x14ac:dyDescent="0.25">
      <c r="E88" s="3"/>
    </row>
    <row r="89" spans="2:19" x14ac:dyDescent="0.25">
      <c r="C89" t="s">
        <v>48</v>
      </c>
      <c r="E89" s="3">
        <f>SUM(E5:E85)/(Finage-Commage+1)</f>
        <v>89.999999999999986</v>
      </c>
    </row>
  </sheetData>
  <phoneticPr fontId="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E106"/>
  <sheetViews>
    <sheetView showGridLines="0" workbookViewId="0"/>
  </sheetViews>
  <sheetFormatPr defaultRowHeight="13.2" x14ac:dyDescent="0.25"/>
  <cols>
    <col min="1" max="1" width="4.6640625" customWidth="1"/>
    <col min="2" max="2" width="12.109375" customWidth="1"/>
  </cols>
  <sheetData>
    <row r="1" spans="1:5" ht="15.6" x14ac:dyDescent="0.3">
      <c r="A1" s="2" t="s">
        <v>32</v>
      </c>
    </row>
    <row r="2" spans="1:5" x14ac:dyDescent="0.25">
      <c r="B2" s="6" t="s">
        <v>77</v>
      </c>
    </row>
    <row r="5" spans="1:5" x14ac:dyDescent="0.25">
      <c r="C5" s="5" t="s">
        <v>29</v>
      </c>
      <c r="D5" s="5" t="s">
        <v>30</v>
      </c>
      <c r="E5" s="8" t="s">
        <v>31</v>
      </c>
    </row>
    <row r="6" spans="1:5" x14ac:dyDescent="0.25">
      <c r="B6">
        <v>0</v>
      </c>
      <c r="C6" s="7">
        <v>79.7</v>
      </c>
      <c r="D6" s="7">
        <v>84.2</v>
      </c>
      <c r="E6" s="7">
        <f>(C6+D6)/2</f>
        <v>81.95</v>
      </c>
    </row>
    <row r="7" spans="1:5" x14ac:dyDescent="0.25">
      <c r="B7">
        <f>1+B6</f>
        <v>1</v>
      </c>
      <c r="C7" s="7">
        <v>79.099999999999994</v>
      </c>
      <c r="D7" s="7">
        <v>83.5</v>
      </c>
      <c r="E7" s="7">
        <f t="shared" ref="E7:E70" si="0">(C7+D7)/2</f>
        <v>81.3</v>
      </c>
    </row>
    <row r="8" spans="1:5" x14ac:dyDescent="0.25">
      <c r="B8">
        <f t="shared" ref="B8:B71" si="1">1+B7</f>
        <v>2</v>
      </c>
      <c r="C8" s="7">
        <v>78.2</v>
      </c>
      <c r="D8" s="7">
        <v>82.5</v>
      </c>
      <c r="E8" s="7">
        <f t="shared" si="0"/>
        <v>80.349999999999994</v>
      </c>
    </row>
    <row r="9" spans="1:5" x14ac:dyDescent="0.25">
      <c r="B9">
        <f t="shared" si="1"/>
        <v>3</v>
      </c>
      <c r="C9" s="7">
        <v>77.2</v>
      </c>
      <c r="D9" s="7">
        <v>81.5</v>
      </c>
      <c r="E9" s="7">
        <f t="shared" si="0"/>
        <v>79.349999999999994</v>
      </c>
    </row>
    <row r="10" spans="1:5" x14ac:dyDescent="0.25">
      <c r="B10">
        <f t="shared" si="1"/>
        <v>4</v>
      </c>
      <c r="C10" s="7">
        <v>76.2</v>
      </c>
      <c r="D10" s="7">
        <v>80.599999999999994</v>
      </c>
      <c r="E10" s="7">
        <f t="shared" si="0"/>
        <v>78.400000000000006</v>
      </c>
    </row>
    <row r="11" spans="1:5" x14ac:dyDescent="0.25">
      <c r="B11">
        <f t="shared" si="1"/>
        <v>5</v>
      </c>
      <c r="C11" s="7">
        <v>75.2</v>
      </c>
      <c r="D11" s="7">
        <v>79.599999999999994</v>
      </c>
      <c r="E11" s="7">
        <f t="shared" si="0"/>
        <v>77.400000000000006</v>
      </c>
    </row>
    <row r="12" spans="1:5" x14ac:dyDescent="0.25">
      <c r="B12">
        <f t="shared" si="1"/>
        <v>6</v>
      </c>
      <c r="C12" s="7">
        <v>74.2</v>
      </c>
      <c r="D12" s="7">
        <v>78.599999999999994</v>
      </c>
      <c r="E12" s="7">
        <f t="shared" si="0"/>
        <v>76.400000000000006</v>
      </c>
    </row>
    <row r="13" spans="1:5" x14ac:dyDescent="0.25">
      <c r="B13">
        <f t="shared" si="1"/>
        <v>7</v>
      </c>
      <c r="C13" s="7">
        <v>73.2</v>
      </c>
      <c r="D13" s="7">
        <v>77.599999999999994</v>
      </c>
      <c r="E13" s="7">
        <f t="shared" si="0"/>
        <v>75.400000000000006</v>
      </c>
    </row>
    <row r="14" spans="1:5" x14ac:dyDescent="0.25">
      <c r="B14">
        <f t="shared" si="1"/>
        <v>8</v>
      </c>
      <c r="C14" s="7">
        <v>72.2</v>
      </c>
      <c r="D14" s="7">
        <v>76.599999999999994</v>
      </c>
      <c r="E14" s="7">
        <f t="shared" si="0"/>
        <v>74.400000000000006</v>
      </c>
    </row>
    <row r="15" spans="1:5" x14ac:dyDescent="0.25">
      <c r="B15">
        <f t="shared" si="1"/>
        <v>9</v>
      </c>
      <c r="C15" s="7">
        <v>71.2</v>
      </c>
      <c r="D15" s="7">
        <v>75.599999999999994</v>
      </c>
      <c r="E15" s="7">
        <f t="shared" si="0"/>
        <v>73.400000000000006</v>
      </c>
    </row>
    <row r="16" spans="1:5" x14ac:dyDescent="0.25">
      <c r="B16">
        <f t="shared" si="1"/>
        <v>10</v>
      </c>
      <c r="C16" s="7">
        <v>70.2</v>
      </c>
      <c r="D16" s="7">
        <v>74.599999999999994</v>
      </c>
      <c r="E16" s="7">
        <f t="shared" si="0"/>
        <v>72.400000000000006</v>
      </c>
    </row>
    <row r="17" spans="2:5" x14ac:dyDescent="0.25">
      <c r="B17">
        <f t="shared" si="1"/>
        <v>11</v>
      </c>
      <c r="C17" s="7">
        <v>69.3</v>
      </c>
      <c r="D17" s="7">
        <v>73.599999999999994</v>
      </c>
      <c r="E17" s="7">
        <f t="shared" si="0"/>
        <v>71.449999999999989</v>
      </c>
    </row>
    <row r="18" spans="2:5" x14ac:dyDescent="0.25">
      <c r="B18">
        <f t="shared" si="1"/>
        <v>12</v>
      </c>
      <c r="C18" s="7">
        <v>68.3</v>
      </c>
      <c r="D18" s="7">
        <v>72.599999999999994</v>
      </c>
      <c r="E18" s="7">
        <f t="shared" si="0"/>
        <v>70.449999999999989</v>
      </c>
    </row>
    <row r="19" spans="2:5" x14ac:dyDescent="0.25">
      <c r="B19">
        <f t="shared" si="1"/>
        <v>13</v>
      </c>
      <c r="C19" s="7">
        <v>67.3</v>
      </c>
      <c r="D19" s="7">
        <v>71.599999999999994</v>
      </c>
      <c r="E19" s="7">
        <f t="shared" si="0"/>
        <v>69.449999999999989</v>
      </c>
    </row>
    <row r="20" spans="2:5" x14ac:dyDescent="0.25">
      <c r="B20">
        <f t="shared" si="1"/>
        <v>14</v>
      </c>
      <c r="C20" s="7">
        <v>66.3</v>
      </c>
      <c r="D20" s="7">
        <v>70.599999999999994</v>
      </c>
      <c r="E20" s="7">
        <f t="shared" si="0"/>
        <v>68.449999999999989</v>
      </c>
    </row>
    <row r="21" spans="2:5" x14ac:dyDescent="0.25">
      <c r="B21">
        <f t="shared" si="1"/>
        <v>15</v>
      </c>
      <c r="C21" s="7">
        <v>65.3</v>
      </c>
      <c r="D21" s="7">
        <v>69.599999999999994</v>
      </c>
      <c r="E21" s="7">
        <f t="shared" si="0"/>
        <v>67.449999999999989</v>
      </c>
    </row>
    <row r="22" spans="2:5" x14ac:dyDescent="0.25">
      <c r="B22">
        <f t="shared" si="1"/>
        <v>16</v>
      </c>
      <c r="C22" s="7">
        <v>64.3</v>
      </c>
      <c r="D22" s="7">
        <v>68.599999999999994</v>
      </c>
      <c r="E22" s="7">
        <f t="shared" si="0"/>
        <v>66.449999999999989</v>
      </c>
    </row>
    <row r="23" spans="2:5" x14ac:dyDescent="0.25">
      <c r="B23">
        <f t="shared" si="1"/>
        <v>17</v>
      </c>
      <c r="C23" s="7">
        <v>63.3</v>
      </c>
      <c r="D23" s="7">
        <v>67.599999999999994</v>
      </c>
      <c r="E23" s="7">
        <f t="shared" si="0"/>
        <v>65.449999999999989</v>
      </c>
    </row>
    <row r="24" spans="2:5" x14ac:dyDescent="0.25">
      <c r="B24">
        <f t="shared" si="1"/>
        <v>18</v>
      </c>
      <c r="C24" s="7">
        <v>62.4</v>
      </c>
      <c r="D24" s="7">
        <v>66.7</v>
      </c>
      <c r="E24" s="7">
        <f t="shared" si="0"/>
        <v>64.55</v>
      </c>
    </row>
    <row r="25" spans="2:5" x14ac:dyDescent="0.25">
      <c r="B25">
        <f t="shared" si="1"/>
        <v>19</v>
      </c>
      <c r="C25" s="7">
        <v>61.4</v>
      </c>
      <c r="D25" s="7">
        <v>65.7</v>
      </c>
      <c r="E25" s="7">
        <f t="shared" si="0"/>
        <v>63.55</v>
      </c>
    </row>
    <row r="26" spans="2:5" x14ac:dyDescent="0.25">
      <c r="B26">
        <f t="shared" si="1"/>
        <v>20</v>
      </c>
      <c r="C26" s="7">
        <v>60.4</v>
      </c>
      <c r="D26" s="7">
        <v>64.7</v>
      </c>
      <c r="E26" s="7">
        <f t="shared" si="0"/>
        <v>62.55</v>
      </c>
    </row>
    <row r="27" spans="2:5" x14ac:dyDescent="0.25">
      <c r="B27">
        <f t="shared" si="1"/>
        <v>21</v>
      </c>
      <c r="C27" s="7">
        <v>59.5</v>
      </c>
      <c r="D27" s="7">
        <v>63.7</v>
      </c>
      <c r="E27" s="7">
        <f t="shared" si="0"/>
        <v>61.6</v>
      </c>
    </row>
    <row r="28" spans="2:5" x14ac:dyDescent="0.25">
      <c r="B28">
        <f t="shared" si="1"/>
        <v>22</v>
      </c>
      <c r="C28" s="7">
        <v>58.5</v>
      </c>
      <c r="D28" s="7">
        <v>62.7</v>
      </c>
      <c r="E28" s="7">
        <f t="shared" si="0"/>
        <v>60.6</v>
      </c>
    </row>
    <row r="29" spans="2:5" x14ac:dyDescent="0.25">
      <c r="B29">
        <f t="shared" si="1"/>
        <v>23</v>
      </c>
      <c r="C29" s="7">
        <v>57.5</v>
      </c>
      <c r="D29" s="7">
        <v>61.7</v>
      </c>
      <c r="E29" s="7">
        <f t="shared" si="0"/>
        <v>59.6</v>
      </c>
    </row>
    <row r="30" spans="2:5" x14ac:dyDescent="0.25">
      <c r="B30">
        <f t="shared" si="1"/>
        <v>24</v>
      </c>
      <c r="C30" s="7">
        <v>56.6</v>
      </c>
      <c r="D30" s="7">
        <v>60.8</v>
      </c>
      <c r="E30" s="7">
        <f t="shared" si="0"/>
        <v>58.7</v>
      </c>
    </row>
    <row r="31" spans="2:5" x14ac:dyDescent="0.25">
      <c r="B31">
        <f t="shared" si="1"/>
        <v>25</v>
      </c>
      <c r="C31" s="7">
        <v>55.6</v>
      </c>
      <c r="D31" s="7">
        <v>59.8</v>
      </c>
      <c r="E31" s="7">
        <f t="shared" si="0"/>
        <v>57.7</v>
      </c>
    </row>
    <row r="32" spans="2:5" x14ac:dyDescent="0.25">
      <c r="B32">
        <f t="shared" si="1"/>
        <v>26</v>
      </c>
      <c r="C32" s="7">
        <v>54.6</v>
      </c>
      <c r="D32" s="7">
        <v>58.8</v>
      </c>
      <c r="E32" s="7">
        <f t="shared" si="0"/>
        <v>56.7</v>
      </c>
    </row>
    <row r="33" spans="2:5" x14ac:dyDescent="0.25">
      <c r="B33">
        <f t="shared" si="1"/>
        <v>27</v>
      </c>
      <c r="C33" s="7">
        <v>53.7</v>
      </c>
      <c r="D33" s="7">
        <v>57.8</v>
      </c>
      <c r="E33" s="7">
        <f t="shared" si="0"/>
        <v>55.75</v>
      </c>
    </row>
    <row r="34" spans="2:5" x14ac:dyDescent="0.25">
      <c r="B34">
        <f t="shared" si="1"/>
        <v>28</v>
      </c>
      <c r="C34" s="7">
        <v>52.7</v>
      </c>
      <c r="D34" s="7">
        <v>56.8</v>
      </c>
      <c r="E34" s="7">
        <f t="shared" si="0"/>
        <v>54.75</v>
      </c>
    </row>
    <row r="35" spans="2:5" x14ac:dyDescent="0.25">
      <c r="B35">
        <f t="shared" si="1"/>
        <v>29</v>
      </c>
      <c r="C35" s="7">
        <v>51.8</v>
      </c>
      <c r="D35" s="7">
        <v>55.8</v>
      </c>
      <c r="E35" s="7">
        <f t="shared" si="0"/>
        <v>53.8</v>
      </c>
    </row>
    <row r="36" spans="2:5" x14ac:dyDescent="0.25">
      <c r="B36">
        <f t="shared" si="1"/>
        <v>30</v>
      </c>
      <c r="C36" s="7">
        <v>50.8</v>
      </c>
      <c r="D36" s="7">
        <v>54.9</v>
      </c>
      <c r="E36" s="7">
        <f t="shared" si="0"/>
        <v>52.849999999999994</v>
      </c>
    </row>
    <row r="37" spans="2:5" x14ac:dyDescent="0.25">
      <c r="B37">
        <f t="shared" si="1"/>
        <v>31</v>
      </c>
      <c r="C37" s="7">
        <v>49.9</v>
      </c>
      <c r="D37" s="7">
        <v>53.9</v>
      </c>
      <c r="E37" s="7">
        <f t="shared" si="0"/>
        <v>51.9</v>
      </c>
    </row>
    <row r="38" spans="2:5" x14ac:dyDescent="0.25">
      <c r="B38">
        <f t="shared" si="1"/>
        <v>32</v>
      </c>
      <c r="C38" s="7">
        <v>48.9</v>
      </c>
      <c r="D38" s="7">
        <v>52.9</v>
      </c>
      <c r="E38" s="7">
        <f t="shared" si="0"/>
        <v>50.9</v>
      </c>
    </row>
    <row r="39" spans="2:5" x14ac:dyDescent="0.25">
      <c r="B39">
        <f t="shared" si="1"/>
        <v>33</v>
      </c>
      <c r="C39" s="7">
        <v>47.9</v>
      </c>
      <c r="D39" s="7">
        <v>51.9</v>
      </c>
      <c r="E39" s="7">
        <f t="shared" si="0"/>
        <v>49.9</v>
      </c>
    </row>
    <row r="40" spans="2:5" x14ac:dyDescent="0.25">
      <c r="B40">
        <f t="shared" si="1"/>
        <v>34</v>
      </c>
      <c r="C40" s="7">
        <v>47</v>
      </c>
      <c r="D40" s="7">
        <v>50.9</v>
      </c>
      <c r="E40" s="7">
        <f t="shared" si="0"/>
        <v>48.95</v>
      </c>
    </row>
    <row r="41" spans="2:5" x14ac:dyDescent="0.25">
      <c r="B41">
        <f t="shared" si="1"/>
        <v>35</v>
      </c>
      <c r="C41" s="7">
        <v>46</v>
      </c>
      <c r="D41" s="7">
        <v>50</v>
      </c>
      <c r="E41" s="7">
        <f t="shared" si="0"/>
        <v>48</v>
      </c>
    </row>
    <row r="42" spans="2:5" x14ac:dyDescent="0.25">
      <c r="B42">
        <f t="shared" si="1"/>
        <v>36</v>
      </c>
      <c r="C42" s="7">
        <v>45.1</v>
      </c>
      <c r="D42" s="7">
        <v>49</v>
      </c>
      <c r="E42" s="7">
        <f t="shared" si="0"/>
        <v>47.05</v>
      </c>
    </row>
    <row r="43" spans="2:5" x14ac:dyDescent="0.25">
      <c r="B43">
        <f t="shared" si="1"/>
        <v>37</v>
      </c>
      <c r="C43" s="7">
        <v>44.1</v>
      </c>
      <c r="D43" s="7">
        <v>48</v>
      </c>
      <c r="E43" s="7">
        <f t="shared" si="0"/>
        <v>46.05</v>
      </c>
    </row>
    <row r="44" spans="2:5" x14ac:dyDescent="0.25">
      <c r="B44">
        <f t="shared" si="1"/>
        <v>38</v>
      </c>
      <c r="C44" s="7">
        <v>43.2</v>
      </c>
      <c r="D44" s="7">
        <v>47</v>
      </c>
      <c r="E44" s="7">
        <f t="shared" si="0"/>
        <v>45.1</v>
      </c>
    </row>
    <row r="45" spans="2:5" x14ac:dyDescent="0.25">
      <c r="B45">
        <f t="shared" si="1"/>
        <v>39</v>
      </c>
      <c r="C45" s="7">
        <v>42.2</v>
      </c>
      <c r="D45" s="7">
        <v>46.1</v>
      </c>
      <c r="E45" s="7">
        <f t="shared" si="0"/>
        <v>44.150000000000006</v>
      </c>
    </row>
    <row r="46" spans="2:5" x14ac:dyDescent="0.25">
      <c r="B46">
        <f t="shared" si="1"/>
        <v>40</v>
      </c>
      <c r="C46" s="7">
        <v>41.3</v>
      </c>
      <c r="D46" s="7">
        <v>45.1</v>
      </c>
      <c r="E46" s="7">
        <f t="shared" si="0"/>
        <v>43.2</v>
      </c>
    </row>
    <row r="47" spans="2:5" x14ac:dyDescent="0.25">
      <c r="B47">
        <f t="shared" si="1"/>
        <v>41</v>
      </c>
      <c r="C47" s="7">
        <v>40.4</v>
      </c>
      <c r="D47" s="7">
        <v>44.1</v>
      </c>
      <c r="E47" s="7">
        <f t="shared" si="0"/>
        <v>42.25</v>
      </c>
    </row>
    <row r="48" spans="2:5" x14ac:dyDescent="0.25">
      <c r="B48">
        <f t="shared" si="1"/>
        <v>42</v>
      </c>
      <c r="C48" s="7">
        <v>39.4</v>
      </c>
      <c r="D48" s="7">
        <v>43.2</v>
      </c>
      <c r="E48" s="7">
        <f t="shared" si="0"/>
        <v>41.3</v>
      </c>
    </row>
    <row r="49" spans="2:5" x14ac:dyDescent="0.25">
      <c r="B49">
        <f t="shared" si="1"/>
        <v>43</v>
      </c>
      <c r="C49" s="7">
        <v>38.5</v>
      </c>
      <c r="D49" s="7">
        <v>42.2</v>
      </c>
      <c r="E49" s="7">
        <f t="shared" si="0"/>
        <v>40.35</v>
      </c>
    </row>
    <row r="50" spans="2:5" x14ac:dyDescent="0.25">
      <c r="B50">
        <f t="shared" si="1"/>
        <v>44</v>
      </c>
      <c r="C50" s="7">
        <v>37.5</v>
      </c>
      <c r="D50" s="7">
        <v>41.3</v>
      </c>
      <c r="E50" s="7">
        <f t="shared" si="0"/>
        <v>39.4</v>
      </c>
    </row>
    <row r="51" spans="2:5" x14ac:dyDescent="0.25">
      <c r="B51">
        <f t="shared" si="1"/>
        <v>45</v>
      </c>
      <c r="C51" s="7">
        <v>36.6</v>
      </c>
      <c r="D51" s="7">
        <v>40.299999999999997</v>
      </c>
      <c r="E51" s="7">
        <f t="shared" si="0"/>
        <v>38.450000000000003</v>
      </c>
    </row>
    <row r="52" spans="2:5" x14ac:dyDescent="0.25">
      <c r="B52">
        <f t="shared" si="1"/>
        <v>46</v>
      </c>
      <c r="C52" s="7">
        <v>35.700000000000003</v>
      </c>
      <c r="D52" s="7">
        <v>39.4</v>
      </c>
      <c r="E52" s="7">
        <f t="shared" si="0"/>
        <v>37.549999999999997</v>
      </c>
    </row>
    <row r="53" spans="2:5" x14ac:dyDescent="0.25">
      <c r="B53">
        <f t="shared" si="1"/>
        <v>47</v>
      </c>
      <c r="C53" s="7">
        <v>34.799999999999997</v>
      </c>
      <c r="D53" s="7">
        <v>38.4</v>
      </c>
      <c r="E53" s="7">
        <f t="shared" si="0"/>
        <v>36.599999999999994</v>
      </c>
    </row>
    <row r="54" spans="2:5" x14ac:dyDescent="0.25">
      <c r="B54">
        <f t="shared" si="1"/>
        <v>48</v>
      </c>
      <c r="C54" s="7">
        <v>33.799999999999997</v>
      </c>
      <c r="D54" s="7">
        <v>37.5</v>
      </c>
      <c r="E54" s="7">
        <f t="shared" si="0"/>
        <v>35.65</v>
      </c>
    </row>
    <row r="55" spans="2:5" x14ac:dyDescent="0.25">
      <c r="B55">
        <f t="shared" si="1"/>
        <v>49</v>
      </c>
      <c r="C55" s="7">
        <v>32.9</v>
      </c>
      <c r="D55" s="7">
        <v>36.5</v>
      </c>
      <c r="E55" s="7">
        <f t="shared" si="0"/>
        <v>34.700000000000003</v>
      </c>
    </row>
    <row r="56" spans="2:5" x14ac:dyDescent="0.25">
      <c r="B56">
        <f t="shared" si="1"/>
        <v>50</v>
      </c>
      <c r="C56" s="7">
        <v>32</v>
      </c>
      <c r="D56" s="7">
        <v>35.6</v>
      </c>
      <c r="E56" s="7">
        <f t="shared" si="0"/>
        <v>33.799999999999997</v>
      </c>
    </row>
    <row r="57" spans="2:5" x14ac:dyDescent="0.25">
      <c r="B57">
        <f t="shared" si="1"/>
        <v>51</v>
      </c>
      <c r="C57" s="7">
        <v>31.1</v>
      </c>
      <c r="D57" s="7">
        <v>34.700000000000003</v>
      </c>
      <c r="E57" s="7">
        <f t="shared" si="0"/>
        <v>32.900000000000006</v>
      </c>
    </row>
    <row r="58" spans="2:5" x14ac:dyDescent="0.25">
      <c r="B58">
        <f t="shared" si="1"/>
        <v>52</v>
      </c>
      <c r="C58" s="7">
        <v>30.2</v>
      </c>
      <c r="D58" s="7">
        <v>33.700000000000003</v>
      </c>
      <c r="E58" s="7">
        <f t="shared" si="0"/>
        <v>31.950000000000003</v>
      </c>
    </row>
    <row r="59" spans="2:5" x14ac:dyDescent="0.25">
      <c r="B59">
        <f t="shared" si="1"/>
        <v>53</v>
      </c>
      <c r="C59" s="7">
        <v>29.3</v>
      </c>
      <c r="D59" s="7">
        <v>32.799999999999997</v>
      </c>
      <c r="E59" s="7">
        <f t="shared" si="0"/>
        <v>31.049999999999997</v>
      </c>
    </row>
    <row r="60" spans="2:5" x14ac:dyDescent="0.25">
      <c r="B60">
        <f t="shared" si="1"/>
        <v>54</v>
      </c>
      <c r="C60" s="7">
        <v>28.4</v>
      </c>
      <c r="D60" s="7">
        <v>31.9</v>
      </c>
      <c r="E60" s="7">
        <f t="shared" si="0"/>
        <v>30.15</v>
      </c>
    </row>
    <row r="61" spans="2:5" x14ac:dyDescent="0.25">
      <c r="B61">
        <f t="shared" si="1"/>
        <v>55</v>
      </c>
      <c r="C61" s="7">
        <v>27.5</v>
      </c>
      <c r="D61" s="7">
        <v>31</v>
      </c>
      <c r="E61" s="7">
        <f t="shared" si="0"/>
        <v>29.25</v>
      </c>
    </row>
    <row r="62" spans="2:5" x14ac:dyDescent="0.25">
      <c r="B62">
        <f t="shared" si="1"/>
        <v>56</v>
      </c>
      <c r="C62" s="7">
        <v>26.7</v>
      </c>
      <c r="D62" s="7">
        <v>30</v>
      </c>
      <c r="E62" s="7">
        <f t="shared" si="0"/>
        <v>28.35</v>
      </c>
    </row>
    <row r="63" spans="2:5" x14ac:dyDescent="0.25">
      <c r="B63">
        <f t="shared" si="1"/>
        <v>57</v>
      </c>
      <c r="C63" s="7">
        <v>25.8</v>
      </c>
      <c r="D63" s="7">
        <v>29.1</v>
      </c>
      <c r="E63" s="7">
        <f t="shared" si="0"/>
        <v>27.450000000000003</v>
      </c>
    </row>
    <row r="64" spans="2:5" x14ac:dyDescent="0.25">
      <c r="B64">
        <f t="shared" si="1"/>
        <v>58</v>
      </c>
      <c r="C64" s="7">
        <v>24.9</v>
      </c>
      <c r="D64" s="7">
        <v>28.2</v>
      </c>
      <c r="E64" s="7">
        <f t="shared" si="0"/>
        <v>26.549999999999997</v>
      </c>
    </row>
    <row r="65" spans="2:5" x14ac:dyDescent="0.25">
      <c r="B65">
        <f t="shared" si="1"/>
        <v>59</v>
      </c>
      <c r="C65" s="7">
        <v>24.1</v>
      </c>
      <c r="D65" s="7">
        <v>27.3</v>
      </c>
      <c r="E65" s="7">
        <f t="shared" si="0"/>
        <v>25.700000000000003</v>
      </c>
    </row>
    <row r="66" spans="2:5" x14ac:dyDescent="0.25">
      <c r="B66">
        <f t="shared" si="1"/>
        <v>60</v>
      </c>
      <c r="C66" s="7">
        <v>23.2</v>
      </c>
      <c r="D66" s="7">
        <v>26.4</v>
      </c>
      <c r="E66" s="7">
        <f t="shared" si="0"/>
        <v>24.799999999999997</v>
      </c>
    </row>
    <row r="67" spans="2:5" x14ac:dyDescent="0.25">
      <c r="B67">
        <f t="shared" si="1"/>
        <v>61</v>
      </c>
      <c r="C67" s="7">
        <v>22.4</v>
      </c>
      <c r="D67" s="7">
        <v>25.5</v>
      </c>
      <c r="E67" s="7">
        <f t="shared" si="0"/>
        <v>23.95</v>
      </c>
    </row>
    <row r="68" spans="2:5" x14ac:dyDescent="0.25">
      <c r="B68">
        <f t="shared" si="1"/>
        <v>62</v>
      </c>
      <c r="C68" s="7">
        <v>21.5</v>
      </c>
      <c r="D68" s="7">
        <v>24.6</v>
      </c>
      <c r="E68" s="7">
        <f t="shared" si="0"/>
        <v>23.05</v>
      </c>
    </row>
    <row r="69" spans="2:5" x14ac:dyDescent="0.25">
      <c r="B69">
        <f t="shared" si="1"/>
        <v>63</v>
      </c>
      <c r="C69" s="7">
        <v>20.7</v>
      </c>
      <c r="D69" s="7">
        <v>23.7</v>
      </c>
      <c r="E69" s="7">
        <f t="shared" si="0"/>
        <v>22.2</v>
      </c>
    </row>
    <row r="70" spans="2:5" x14ac:dyDescent="0.25">
      <c r="B70">
        <f t="shared" si="1"/>
        <v>64</v>
      </c>
      <c r="C70" s="7">
        <v>19.899999999999999</v>
      </c>
      <c r="D70" s="7">
        <v>22.9</v>
      </c>
      <c r="E70" s="7">
        <f t="shared" si="0"/>
        <v>21.4</v>
      </c>
    </row>
    <row r="71" spans="2:5" x14ac:dyDescent="0.25">
      <c r="B71">
        <f t="shared" si="1"/>
        <v>65</v>
      </c>
      <c r="C71" s="7">
        <v>19.100000000000001</v>
      </c>
      <c r="D71" s="7">
        <v>22</v>
      </c>
      <c r="E71" s="7">
        <f t="shared" ref="E71:E106" si="2">(C71+D71)/2</f>
        <v>20.55</v>
      </c>
    </row>
    <row r="72" spans="2:5" x14ac:dyDescent="0.25">
      <c r="B72">
        <f t="shared" ref="B72:B105" si="3">1+B71</f>
        <v>66</v>
      </c>
      <c r="C72" s="7">
        <v>18.3</v>
      </c>
      <c r="D72" s="7">
        <v>21.1</v>
      </c>
      <c r="E72" s="7">
        <f t="shared" si="2"/>
        <v>19.700000000000003</v>
      </c>
    </row>
    <row r="73" spans="2:5" x14ac:dyDescent="0.25">
      <c r="B73">
        <f t="shared" si="3"/>
        <v>67</v>
      </c>
      <c r="C73" s="7">
        <v>17.5</v>
      </c>
      <c r="D73" s="7">
        <v>20.3</v>
      </c>
      <c r="E73" s="7">
        <f t="shared" si="2"/>
        <v>18.899999999999999</v>
      </c>
    </row>
    <row r="74" spans="2:5" x14ac:dyDescent="0.25">
      <c r="B74">
        <f t="shared" si="3"/>
        <v>68</v>
      </c>
      <c r="C74" s="7">
        <v>16.7</v>
      </c>
      <c r="D74" s="7">
        <v>19.399999999999999</v>
      </c>
      <c r="E74" s="7">
        <f t="shared" si="2"/>
        <v>18.049999999999997</v>
      </c>
    </row>
    <row r="75" spans="2:5" x14ac:dyDescent="0.25">
      <c r="B75">
        <f t="shared" si="3"/>
        <v>69</v>
      </c>
      <c r="C75" s="7">
        <v>16</v>
      </c>
      <c r="D75" s="7">
        <v>18.600000000000001</v>
      </c>
      <c r="E75" s="7">
        <f t="shared" si="2"/>
        <v>17.3</v>
      </c>
    </row>
    <row r="76" spans="2:5" x14ac:dyDescent="0.25">
      <c r="B76">
        <f t="shared" si="3"/>
        <v>70</v>
      </c>
      <c r="C76" s="7">
        <v>15.2</v>
      </c>
      <c r="D76" s="7">
        <v>17.8</v>
      </c>
      <c r="E76" s="7">
        <f t="shared" si="2"/>
        <v>16.5</v>
      </c>
    </row>
    <row r="77" spans="2:5" x14ac:dyDescent="0.25">
      <c r="B77">
        <f t="shared" si="3"/>
        <v>71</v>
      </c>
      <c r="C77" s="7">
        <v>14.5</v>
      </c>
      <c r="D77" s="7">
        <v>17</v>
      </c>
      <c r="E77" s="7">
        <f t="shared" si="2"/>
        <v>15.75</v>
      </c>
    </row>
    <row r="78" spans="2:5" x14ac:dyDescent="0.25">
      <c r="B78">
        <f t="shared" si="3"/>
        <v>72</v>
      </c>
      <c r="C78" s="7">
        <v>13.8</v>
      </c>
      <c r="D78" s="7">
        <v>16.2</v>
      </c>
      <c r="E78" s="7">
        <f t="shared" si="2"/>
        <v>15</v>
      </c>
    </row>
    <row r="79" spans="2:5" x14ac:dyDescent="0.25">
      <c r="B79">
        <f t="shared" si="3"/>
        <v>73</v>
      </c>
      <c r="C79" s="7">
        <v>13.1</v>
      </c>
      <c r="D79" s="7">
        <v>15.4</v>
      </c>
      <c r="E79" s="7">
        <f t="shared" si="2"/>
        <v>14.25</v>
      </c>
    </row>
    <row r="80" spans="2:5" x14ac:dyDescent="0.25">
      <c r="B80">
        <f t="shared" si="3"/>
        <v>74</v>
      </c>
      <c r="C80" s="7">
        <v>12.4</v>
      </c>
      <c r="D80" s="7">
        <v>14.6</v>
      </c>
      <c r="E80" s="7">
        <f t="shared" si="2"/>
        <v>13.5</v>
      </c>
    </row>
    <row r="81" spans="2:5" x14ac:dyDescent="0.25">
      <c r="B81">
        <f t="shared" si="3"/>
        <v>75</v>
      </c>
      <c r="C81" s="7">
        <v>11.7</v>
      </c>
      <c r="D81" s="7">
        <v>13.8</v>
      </c>
      <c r="E81" s="7">
        <f t="shared" si="2"/>
        <v>12.75</v>
      </c>
    </row>
    <row r="82" spans="2:5" x14ac:dyDescent="0.25">
      <c r="B82">
        <f t="shared" si="3"/>
        <v>76</v>
      </c>
      <c r="C82" s="7">
        <v>11.1</v>
      </c>
      <c r="D82" s="7">
        <v>13.1</v>
      </c>
      <c r="E82" s="7">
        <f t="shared" si="2"/>
        <v>12.1</v>
      </c>
    </row>
    <row r="83" spans="2:5" x14ac:dyDescent="0.25">
      <c r="B83">
        <f t="shared" si="3"/>
        <v>77</v>
      </c>
      <c r="C83" s="7">
        <v>10.4</v>
      </c>
      <c r="D83" s="7">
        <v>12.3</v>
      </c>
      <c r="E83" s="7">
        <f t="shared" si="2"/>
        <v>11.350000000000001</v>
      </c>
    </row>
    <row r="84" spans="2:5" x14ac:dyDescent="0.25">
      <c r="B84">
        <f t="shared" si="3"/>
        <v>78</v>
      </c>
      <c r="C84" s="7">
        <v>9.8000000000000007</v>
      </c>
      <c r="D84" s="7">
        <v>11.6</v>
      </c>
      <c r="E84" s="7">
        <f t="shared" si="2"/>
        <v>10.7</v>
      </c>
    </row>
    <row r="85" spans="2:5" x14ac:dyDescent="0.25">
      <c r="B85">
        <f t="shared" si="3"/>
        <v>79</v>
      </c>
      <c r="C85" s="7">
        <v>9.1999999999999993</v>
      </c>
      <c r="D85" s="7">
        <v>10.9</v>
      </c>
      <c r="E85" s="7">
        <f t="shared" si="2"/>
        <v>10.050000000000001</v>
      </c>
    </row>
    <row r="86" spans="2:5" x14ac:dyDescent="0.25">
      <c r="B86">
        <f t="shared" si="3"/>
        <v>80</v>
      </c>
      <c r="C86" s="7">
        <v>8.6</v>
      </c>
      <c r="D86" s="7">
        <v>10.199999999999999</v>
      </c>
      <c r="E86" s="7">
        <f t="shared" si="2"/>
        <v>9.3999999999999986</v>
      </c>
    </row>
    <row r="87" spans="2:5" x14ac:dyDescent="0.25">
      <c r="B87">
        <f t="shared" si="3"/>
        <v>81</v>
      </c>
      <c r="C87" s="7">
        <v>8.1</v>
      </c>
      <c r="D87" s="7">
        <v>9.6</v>
      </c>
      <c r="E87" s="7">
        <f t="shared" si="2"/>
        <v>8.85</v>
      </c>
    </row>
    <row r="88" spans="2:5" x14ac:dyDescent="0.25">
      <c r="B88">
        <f t="shared" si="3"/>
        <v>82</v>
      </c>
      <c r="C88" s="7">
        <v>7.6</v>
      </c>
      <c r="D88" s="7">
        <v>8.9</v>
      </c>
      <c r="E88" s="7">
        <f t="shared" si="2"/>
        <v>8.25</v>
      </c>
    </row>
    <row r="89" spans="2:5" x14ac:dyDescent="0.25">
      <c r="B89">
        <f t="shared" si="3"/>
        <v>83</v>
      </c>
      <c r="C89" s="7">
        <v>7.1</v>
      </c>
      <c r="D89" s="7">
        <v>8.3000000000000007</v>
      </c>
      <c r="E89" s="7">
        <f t="shared" si="2"/>
        <v>7.7</v>
      </c>
    </row>
    <row r="90" spans="2:5" x14ac:dyDescent="0.25">
      <c r="B90">
        <f t="shared" si="3"/>
        <v>84</v>
      </c>
      <c r="C90" s="7">
        <v>6.6</v>
      </c>
      <c r="D90" s="7">
        <v>7.7</v>
      </c>
      <c r="E90" s="7">
        <f t="shared" si="2"/>
        <v>7.15</v>
      </c>
    </row>
    <row r="91" spans="2:5" x14ac:dyDescent="0.25">
      <c r="B91">
        <f t="shared" si="3"/>
        <v>85</v>
      </c>
      <c r="C91" s="7">
        <v>6.2</v>
      </c>
      <c r="D91" s="7">
        <v>7.2</v>
      </c>
      <c r="E91" s="7">
        <f t="shared" si="2"/>
        <v>6.7</v>
      </c>
    </row>
    <row r="92" spans="2:5" x14ac:dyDescent="0.25">
      <c r="B92">
        <f t="shared" si="3"/>
        <v>86</v>
      </c>
      <c r="C92" s="7">
        <v>5.8</v>
      </c>
      <c r="D92" s="7">
        <v>6.7</v>
      </c>
      <c r="E92" s="7">
        <f t="shared" si="2"/>
        <v>6.25</v>
      </c>
    </row>
    <row r="93" spans="2:5" x14ac:dyDescent="0.25">
      <c r="B93">
        <f t="shared" si="3"/>
        <v>87</v>
      </c>
      <c r="C93" s="7">
        <v>5.4</v>
      </c>
      <c r="D93" s="7">
        <v>6.2</v>
      </c>
      <c r="E93" s="7">
        <f t="shared" si="2"/>
        <v>5.8000000000000007</v>
      </c>
    </row>
    <row r="94" spans="2:5" x14ac:dyDescent="0.25">
      <c r="B94">
        <f t="shared" si="3"/>
        <v>88</v>
      </c>
      <c r="C94" s="7">
        <v>5.0999999999999996</v>
      </c>
      <c r="D94" s="7">
        <v>5.7</v>
      </c>
      <c r="E94" s="7">
        <f t="shared" si="2"/>
        <v>5.4</v>
      </c>
    </row>
    <row r="95" spans="2:5" x14ac:dyDescent="0.25">
      <c r="B95">
        <f t="shared" si="3"/>
        <v>89</v>
      </c>
      <c r="C95" s="7">
        <v>4.7</v>
      </c>
      <c r="D95" s="7">
        <v>5.3</v>
      </c>
      <c r="E95" s="7">
        <f t="shared" si="2"/>
        <v>5</v>
      </c>
    </row>
    <row r="96" spans="2:5" x14ac:dyDescent="0.25">
      <c r="B96">
        <f t="shared" si="3"/>
        <v>90</v>
      </c>
      <c r="C96" s="7">
        <v>4.5</v>
      </c>
      <c r="D96" s="7">
        <v>4.9000000000000004</v>
      </c>
      <c r="E96" s="7">
        <f t="shared" si="2"/>
        <v>4.7</v>
      </c>
    </row>
    <row r="97" spans="2:5" x14ac:dyDescent="0.25">
      <c r="B97">
        <f t="shared" si="3"/>
        <v>91</v>
      </c>
      <c r="C97" s="7">
        <v>4.2</v>
      </c>
      <c r="D97" s="7">
        <v>4.5999999999999996</v>
      </c>
      <c r="E97" s="7">
        <f t="shared" si="2"/>
        <v>4.4000000000000004</v>
      </c>
    </row>
    <row r="98" spans="2:5" x14ac:dyDescent="0.25">
      <c r="B98">
        <f t="shared" si="3"/>
        <v>92</v>
      </c>
      <c r="C98" s="7">
        <v>3.9</v>
      </c>
      <c r="D98" s="7">
        <v>4.3</v>
      </c>
      <c r="E98" s="7">
        <f t="shared" si="2"/>
        <v>4.0999999999999996</v>
      </c>
    </row>
    <row r="99" spans="2:5" x14ac:dyDescent="0.25">
      <c r="B99">
        <f t="shared" si="3"/>
        <v>93</v>
      </c>
      <c r="C99" s="7">
        <v>3.7</v>
      </c>
      <c r="D99" s="7">
        <v>4</v>
      </c>
      <c r="E99" s="7">
        <f t="shared" si="2"/>
        <v>3.85</v>
      </c>
    </row>
    <row r="100" spans="2:5" x14ac:dyDescent="0.25">
      <c r="B100">
        <f t="shared" si="3"/>
        <v>94</v>
      </c>
      <c r="C100" s="7">
        <v>3.5</v>
      </c>
      <c r="D100" s="7">
        <v>3.7</v>
      </c>
      <c r="E100" s="7">
        <f t="shared" si="2"/>
        <v>3.6</v>
      </c>
    </row>
    <row r="101" spans="2:5" x14ac:dyDescent="0.25">
      <c r="B101">
        <f t="shared" si="3"/>
        <v>95</v>
      </c>
      <c r="C101" s="7">
        <v>3.3</v>
      </c>
      <c r="D101" s="7">
        <v>3.5</v>
      </c>
      <c r="E101" s="7">
        <f t="shared" si="2"/>
        <v>3.4</v>
      </c>
    </row>
    <row r="102" spans="2:5" x14ac:dyDescent="0.25">
      <c r="B102">
        <f t="shared" si="3"/>
        <v>96</v>
      </c>
      <c r="C102" s="7">
        <v>3.2</v>
      </c>
      <c r="D102" s="7">
        <v>3.3</v>
      </c>
      <c r="E102" s="7">
        <f t="shared" si="2"/>
        <v>3.25</v>
      </c>
    </row>
    <row r="103" spans="2:5" x14ac:dyDescent="0.25">
      <c r="B103">
        <f t="shared" si="3"/>
        <v>97</v>
      </c>
      <c r="C103" s="7">
        <v>3</v>
      </c>
      <c r="D103" s="7">
        <v>3.1</v>
      </c>
      <c r="E103" s="7">
        <f t="shared" si="2"/>
        <v>3.05</v>
      </c>
    </row>
    <row r="104" spans="2:5" x14ac:dyDescent="0.25">
      <c r="B104">
        <f t="shared" si="3"/>
        <v>98</v>
      </c>
      <c r="C104" s="7">
        <v>2.9</v>
      </c>
      <c r="D104" s="7">
        <v>3</v>
      </c>
      <c r="E104" s="7">
        <f t="shared" si="2"/>
        <v>2.95</v>
      </c>
    </row>
    <row r="105" spans="2:5" x14ac:dyDescent="0.25">
      <c r="B105">
        <f t="shared" si="3"/>
        <v>99</v>
      </c>
      <c r="C105" s="7">
        <v>2.8</v>
      </c>
      <c r="D105" s="7">
        <v>2.8</v>
      </c>
      <c r="E105" s="7">
        <f t="shared" si="2"/>
        <v>2.8</v>
      </c>
    </row>
    <row r="106" spans="2:5" x14ac:dyDescent="0.25">
      <c r="B106" t="s">
        <v>28</v>
      </c>
      <c r="C106">
        <v>2.7</v>
      </c>
      <c r="D106">
        <v>2.7</v>
      </c>
      <c r="E106">
        <f t="shared" si="2"/>
        <v>2.7</v>
      </c>
    </row>
  </sheetData>
  <sheetProtection sheet="1" objects="1" scenarios="1"/>
  <phoneticPr fontId="5" type="noConversion"/>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5"/>
  <sheetViews>
    <sheetView showGridLines="0" workbookViewId="0">
      <selection activeCell="E10" sqref="E10"/>
    </sheetView>
  </sheetViews>
  <sheetFormatPr defaultRowHeight="13.2" x14ac:dyDescent="0.25"/>
  <cols>
    <col min="1" max="1" width="4" customWidth="1"/>
    <col min="2" max="2" width="10.5546875" customWidth="1"/>
    <col min="5" max="5" width="10.44140625" customWidth="1"/>
  </cols>
  <sheetData>
    <row r="1" spans="1:6" ht="15.6" x14ac:dyDescent="0.3">
      <c r="A1" s="2" t="s">
        <v>40</v>
      </c>
    </row>
    <row r="3" spans="1:6" x14ac:dyDescent="0.25">
      <c r="B3" s="1" t="s">
        <v>129</v>
      </c>
    </row>
    <row r="4" spans="1:6" ht="26.4" x14ac:dyDescent="0.25">
      <c r="B4" s="53" t="s">
        <v>34</v>
      </c>
      <c r="C4" s="53"/>
      <c r="D4" s="9" t="s">
        <v>35</v>
      </c>
      <c r="E4" s="9" t="s">
        <v>36</v>
      </c>
    </row>
    <row r="5" spans="1:6" x14ac:dyDescent="0.25">
      <c r="B5" s="10" t="s">
        <v>37</v>
      </c>
      <c r="C5" s="10" t="s">
        <v>38</v>
      </c>
    </row>
    <row r="6" spans="1:6" x14ac:dyDescent="0.25">
      <c r="B6" s="4">
        <v>0</v>
      </c>
      <c r="C6" s="4">
        <v>18200</v>
      </c>
      <c r="D6" s="4">
        <v>0</v>
      </c>
      <c r="E6" s="11">
        <v>0</v>
      </c>
    </row>
    <row r="7" spans="1:6" x14ac:dyDescent="0.25">
      <c r="B7" s="4">
        <f>C6</f>
        <v>18200</v>
      </c>
      <c r="C7" s="4">
        <v>37000</v>
      </c>
      <c r="D7" s="4">
        <f>0</f>
        <v>0</v>
      </c>
      <c r="E7" s="11">
        <v>0.19</v>
      </c>
    </row>
    <row r="8" spans="1:6" x14ac:dyDescent="0.25">
      <c r="B8" s="4">
        <f>C7</f>
        <v>37000</v>
      </c>
      <c r="C8" s="4">
        <v>87000</v>
      </c>
      <c r="D8" s="4">
        <f>D7+(C7-B7)*E7</f>
        <v>3572</v>
      </c>
      <c r="E8" s="11">
        <v>0.32500000000000001</v>
      </c>
    </row>
    <row r="9" spans="1:6" x14ac:dyDescent="0.25">
      <c r="B9" s="4">
        <f>C8</f>
        <v>87000</v>
      </c>
      <c r="C9" s="4">
        <v>180000</v>
      </c>
      <c r="D9" s="4">
        <f>D8+(C8-B8)*E8</f>
        <v>19822</v>
      </c>
      <c r="E9" s="11">
        <v>0.37</v>
      </c>
    </row>
    <row r="10" spans="1:6" x14ac:dyDescent="0.25">
      <c r="B10" s="4">
        <f>C9</f>
        <v>180000</v>
      </c>
      <c r="C10" s="4"/>
      <c r="D10" s="4">
        <f>D9+(C9-B9)*E9</f>
        <v>54232</v>
      </c>
      <c r="E10" s="11">
        <v>0.47</v>
      </c>
      <c r="F10" t="s">
        <v>98</v>
      </c>
    </row>
    <row r="11" spans="1:6" x14ac:dyDescent="0.25">
      <c r="B11" s="4"/>
      <c r="C11" s="4"/>
      <c r="D11" s="4"/>
      <c r="E11" s="11"/>
    </row>
    <row r="12" spans="1:6" x14ac:dyDescent="0.25">
      <c r="D12" t="s">
        <v>39</v>
      </c>
      <c r="E12" s="11">
        <v>0.02</v>
      </c>
    </row>
    <row r="13" spans="1:6" x14ac:dyDescent="0.25">
      <c r="E13" s="11"/>
    </row>
    <row r="14" spans="1:6" x14ac:dyDescent="0.25">
      <c r="B14" s="36" t="s">
        <v>79</v>
      </c>
      <c r="D14">
        <v>445</v>
      </c>
      <c r="E14" s="11"/>
    </row>
    <row r="15" spans="1:6" x14ac:dyDescent="0.25">
      <c r="B15" s="36" t="s">
        <v>80</v>
      </c>
      <c r="C15" s="4">
        <v>37000</v>
      </c>
      <c r="E15" s="11"/>
    </row>
    <row r="16" spans="1:6" x14ac:dyDescent="0.25">
      <c r="B16" s="36" t="s">
        <v>81</v>
      </c>
      <c r="C16" s="4">
        <v>66666</v>
      </c>
      <c r="E16" s="11"/>
    </row>
    <row r="17" spans="2:5" x14ac:dyDescent="0.25">
      <c r="B17" s="36" t="s">
        <v>82</v>
      </c>
      <c r="C17" s="37">
        <v>1.4999999999999999E-2</v>
      </c>
      <c r="E17" s="11"/>
    </row>
    <row r="18" spans="2:5" x14ac:dyDescent="0.25">
      <c r="E18" s="11"/>
    </row>
    <row r="19" spans="2:5" x14ac:dyDescent="0.25">
      <c r="E19" s="11"/>
    </row>
    <row r="21" spans="2:5" x14ac:dyDescent="0.25">
      <c r="B21" t="s">
        <v>41</v>
      </c>
      <c r="E21" s="4">
        <f>Finsal*1000</f>
        <v>130000</v>
      </c>
    </row>
    <row r="22" spans="2:5" x14ac:dyDescent="0.25">
      <c r="B22" t="s">
        <v>42</v>
      </c>
      <c r="E22" s="4">
        <f>-(VLOOKUP(E21,Taxtable,3)+VLOOKUP(E21,Taxtable,4)*(E21-VLOOKUP(E21,Taxtable,1))+E21*Mlevy)</f>
        <v>-38332</v>
      </c>
    </row>
    <row r="23" spans="2:5" x14ac:dyDescent="0.25">
      <c r="B23" s="36" t="s">
        <v>78</v>
      </c>
      <c r="E23">
        <f>IF(E21&lt;Litomax,IF(E21&lt;Litomin,Litobase,(Litobase-(E21-Litomin)*Litotaper)),0)</f>
        <v>0</v>
      </c>
    </row>
    <row r="24" spans="2:5" x14ac:dyDescent="0.25">
      <c r="E24" s="4"/>
    </row>
    <row r="25" spans="2:5" x14ac:dyDescent="0.25">
      <c r="B25" t="s">
        <v>43</v>
      </c>
      <c r="E25" s="38">
        <f>E21+E22+E23</f>
        <v>91668</v>
      </c>
    </row>
  </sheetData>
  <sheetProtection sheet="1" objects="1" scenarios="1"/>
  <mergeCells count="1">
    <mergeCell ref="B4:C4"/>
  </mergeCells>
  <phoneticPr fontId="5"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2"/>
  <sheetViews>
    <sheetView showGridLines="0" workbookViewId="0"/>
  </sheetViews>
  <sheetFormatPr defaultRowHeight="13.2" x14ac:dyDescent="0.25"/>
  <cols>
    <col min="1" max="1" width="3.6640625" customWidth="1"/>
    <col min="2" max="2" width="28.6640625" customWidth="1"/>
    <col min="3" max="5" width="13.5546875" customWidth="1"/>
  </cols>
  <sheetData>
    <row r="1" spans="1:5" ht="15.6" x14ac:dyDescent="0.3">
      <c r="A1" s="2" t="s">
        <v>59</v>
      </c>
    </row>
    <row r="3" spans="1:5" ht="36" customHeight="1" x14ac:dyDescent="0.25">
      <c r="C3" s="29" t="s">
        <v>95</v>
      </c>
      <c r="D3" s="29" t="s">
        <v>60</v>
      </c>
      <c r="E3" s="29" t="s">
        <v>61</v>
      </c>
    </row>
    <row r="4" spans="1:5" x14ac:dyDescent="0.25">
      <c r="B4" t="s">
        <v>62</v>
      </c>
      <c r="C4" s="30">
        <v>9.5000000000000001E-2</v>
      </c>
      <c r="D4" s="7">
        <v>0.7</v>
      </c>
      <c r="E4" s="30">
        <f>C4*D4</f>
        <v>6.649999999999999E-2</v>
      </c>
    </row>
    <row r="5" spans="1:5" x14ac:dyDescent="0.25">
      <c r="B5" t="s">
        <v>68</v>
      </c>
      <c r="C5" s="30">
        <v>7.4999999999999997E-2</v>
      </c>
      <c r="D5" s="7">
        <v>0.2</v>
      </c>
      <c r="E5" s="30">
        <f>C5*D5</f>
        <v>1.4999999999999999E-2</v>
      </c>
    </row>
    <row r="6" spans="1:5" x14ac:dyDescent="0.25">
      <c r="B6" t="s">
        <v>63</v>
      </c>
      <c r="C6" s="30">
        <v>3.6999999999999998E-2</v>
      </c>
      <c r="D6" s="7">
        <v>0.1</v>
      </c>
      <c r="E6" s="30">
        <f>C6*D6</f>
        <v>3.7000000000000002E-3</v>
      </c>
    </row>
    <row r="7" spans="1:5" x14ac:dyDescent="0.25">
      <c r="D7" s="31">
        <f>SUM(D4:D6)</f>
        <v>0.99999999999999989</v>
      </c>
      <c r="E7" s="32">
        <f>SUM(E4:E6)</f>
        <v>8.5199999999999984E-2</v>
      </c>
    </row>
    <row r="8" spans="1:5" x14ac:dyDescent="0.25">
      <c r="B8" t="s">
        <v>96</v>
      </c>
      <c r="E8" s="33">
        <v>2.81E-2</v>
      </c>
    </row>
    <row r="9" spans="1:5" x14ac:dyDescent="0.25">
      <c r="B9" t="s">
        <v>64</v>
      </c>
      <c r="E9" s="32">
        <f>(1+E7)/(1+E8)-1</f>
        <v>5.5539344421748682E-2</v>
      </c>
    </row>
    <row r="12" spans="1:5" x14ac:dyDescent="0.25">
      <c r="B12" s="40" t="s">
        <v>94</v>
      </c>
    </row>
  </sheetData>
  <sheetProtection sheet="1" objects="1" scenarios="1"/>
  <phoneticPr fontId="5" type="noConversion"/>
  <hyperlinks>
    <hyperlink ref="B12" r:id="rId1"/>
  </hyperlinks>
  <pageMargins left="0.75" right="0.75" top="1" bottom="1" header="0.5" footer="0.5"/>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85"/>
  <sheetViews>
    <sheetView showGridLines="0" workbookViewId="0"/>
  </sheetViews>
  <sheetFormatPr defaultRowHeight="13.2" x14ac:dyDescent="0.25"/>
  <cols>
    <col min="1" max="1" width="4.109375" customWidth="1"/>
  </cols>
  <sheetData>
    <row r="1" spans="1:8" ht="15.6" x14ac:dyDescent="0.3">
      <c r="A1" s="2" t="s">
        <v>50</v>
      </c>
    </row>
    <row r="4" spans="1:8" ht="20.399999999999999" x14ac:dyDescent="0.25">
      <c r="B4" s="12" t="s">
        <v>14</v>
      </c>
      <c r="C4" s="12" t="s">
        <v>51</v>
      </c>
      <c r="D4" s="12" t="s">
        <v>42</v>
      </c>
      <c r="E4" s="12" t="s">
        <v>52</v>
      </c>
      <c r="F4" s="12" t="s">
        <v>75</v>
      </c>
      <c r="G4" s="12" t="s">
        <v>53</v>
      </c>
      <c r="H4" s="12" t="s">
        <v>54</v>
      </c>
    </row>
    <row r="5" spans="1:8" x14ac:dyDescent="0.25">
      <c r="B5">
        <f>Workings!B5</f>
        <v>22</v>
      </c>
      <c r="C5" s="4">
        <f>Workings!E5*1000</f>
        <v>50000</v>
      </c>
      <c r="D5" s="4">
        <f t="shared" ref="D5:D36" si="0">VLOOKUP(C5,Taxtable,3)+VLOOKUP(C5,Taxtable,4)*(C5-VLOOKUP(C5,Taxtable,1))+C5*Mlevy-IF(C5&lt;Litomax,IF(C5&lt;Litomin,Litobase,(Litobase-(C5-Litomin)*Litotaper)),0)</f>
        <v>8547</v>
      </c>
      <c r="E5" s="4">
        <f>IF(C5&gt;0,C5-D5,0)</f>
        <v>41453</v>
      </c>
      <c r="F5" s="4">
        <f>1000*Workings!G5/2</f>
        <v>0</v>
      </c>
      <c r="G5" s="4">
        <f t="shared" ref="G5:G36" si="1">IF(B5&lt;=Finage,0,Anny*1000)</f>
        <v>0</v>
      </c>
      <c r="H5" s="4">
        <f>E5+G5-F5</f>
        <v>41453</v>
      </c>
    </row>
    <row r="6" spans="1:8" x14ac:dyDescent="0.25">
      <c r="B6">
        <f>IF(Workings!B6&lt;(Finage+Yrsann),Workings!B6,"")</f>
        <v>23</v>
      </c>
      <c r="C6" s="4">
        <f>Workings!E6*1000</f>
        <v>51860.465116279076</v>
      </c>
      <c r="D6" s="4">
        <f t="shared" si="0"/>
        <v>9216.7674418604693</v>
      </c>
      <c r="E6" s="4">
        <f t="shared" ref="E6:E68" si="2">IF(C6&gt;0,C6-D6,0)</f>
        <v>42643.69767441861</v>
      </c>
      <c r="F6" s="4">
        <f>1000*Workings!G6/2</f>
        <v>0</v>
      </c>
      <c r="G6" s="4">
        <f t="shared" si="1"/>
        <v>0</v>
      </c>
      <c r="H6" s="4">
        <f t="shared" ref="H6:H68" si="3">E6+G6-F6</f>
        <v>42643.69767441861</v>
      </c>
    </row>
    <row r="7" spans="1:8" x14ac:dyDescent="0.25">
      <c r="B7">
        <f>IF(Workings!B7&lt;(Finage+Yrsann),Workings!B7,"")</f>
        <v>24</v>
      </c>
      <c r="C7" s="4">
        <f>Workings!E7*1000</f>
        <v>53720.930232558138</v>
      </c>
      <c r="D7" s="4">
        <f t="shared" si="0"/>
        <v>9886.5348837209294</v>
      </c>
      <c r="E7" s="4">
        <f t="shared" si="2"/>
        <v>43834.395348837206</v>
      </c>
      <c r="F7" s="4">
        <f>1000*Workings!G7/2</f>
        <v>0</v>
      </c>
      <c r="G7" s="4">
        <f t="shared" si="1"/>
        <v>0</v>
      </c>
      <c r="H7" s="4">
        <f t="shared" si="3"/>
        <v>43834.395348837206</v>
      </c>
    </row>
    <row r="8" spans="1:8" x14ac:dyDescent="0.25">
      <c r="B8">
        <f>IF(Workings!B8&lt;(Finage+Yrsann),Workings!B8,"")</f>
        <v>25</v>
      </c>
      <c r="C8" s="4">
        <f>Workings!E8*1000</f>
        <v>55581.395348837214</v>
      </c>
      <c r="D8" s="4">
        <f t="shared" si="0"/>
        <v>10556.302325581397</v>
      </c>
      <c r="E8" s="4">
        <f t="shared" si="2"/>
        <v>45025.093023255817</v>
      </c>
      <c r="F8" s="4">
        <f>1000*Workings!G8/2</f>
        <v>0</v>
      </c>
      <c r="G8" s="4">
        <f t="shared" si="1"/>
        <v>0</v>
      </c>
      <c r="H8" s="4">
        <f t="shared" si="3"/>
        <v>45025.093023255817</v>
      </c>
    </row>
    <row r="9" spans="1:8" x14ac:dyDescent="0.25">
      <c r="B9">
        <f>IF(Workings!B9&lt;(Finage+Yrsann),Workings!B9,"")</f>
        <v>26</v>
      </c>
      <c r="C9" s="4">
        <f>Workings!E9*1000</f>
        <v>57441.860465116275</v>
      </c>
      <c r="D9" s="4">
        <f t="shared" si="0"/>
        <v>11226.069767441861</v>
      </c>
      <c r="E9" s="4">
        <f t="shared" si="2"/>
        <v>46215.790697674413</v>
      </c>
      <c r="F9" s="4">
        <f>1000*Workings!G9/2</f>
        <v>0</v>
      </c>
      <c r="G9" s="4">
        <f t="shared" si="1"/>
        <v>0</v>
      </c>
      <c r="H9" s="4">
        <f t="shared" si="3"/>
        <v>46215.790697674413</v>
      </c>
    </row>
    <row r="10" spans="1:8" x14ac:dyDescent="0.25">
      <c r="B10">
        <f>IF(Workings!B10&lt;(Finage+Yrsann),Workings!B10,"")</f>
        <v>27</v>
      </c>
      <c r="C10" s="4">
        <f>Workings!E10*1000</f>
        <v>59302.325581395351</v>
      </c>
      <c r="D10" s="4">
        <f t="shared" si="0"/>
        <v>11895.837209302324</v>
      </c>
      <c r="E10" s="4">
        <f t="shared" si="2"/>
        <v>47406.488372093023</v>
      </c>
      <c r="F10" s="4">
        <f>1000*Workings!G10/2</f>
        <v>0</v>
      </c>
      <c r="G10" s="4">
        <f t="shared" si="1"/>
        <v>0</v>
      </c>
      <c r="H10" s="4">
        <f t="shared" si="3"/>
        <v>47406.488372093023</v>
      </c>
    </row>
    <row r="11" spans="1:8" x14ac:dyDescent="0.25">
      <c r="B11">
        <f>IF(Workings!B11&lt;(Finage+Yrsann),Workings!B11,"")</f>
        <v>28</v>
      </c>
      <c r="C11" s="4">
        <f>Workings!E11*1000</f>
        <v>61162.79069767442</v>
      </c>
      <c r="D11" s="4">
        <f t="shared" si="0"/>
        <v>12565.604651162792</v>
      </c>
      <c r="E11" s="4">
        <f t="shared" si="2"/>
        <v>48597.186046511626</v>
      </c>
      <c r="F11" s="4">
        <f>1000*Workings!G11/2</f>
        <v>0</v>
      </c>
      <c r="G11" s="4">
        <f t="shared" si="1"/>
        <v>0</v>
      </c>
      <c r="H11" s="4">
        <f t="shared" si="3"/>
        <v>48597.186046511626</v>
      </c>
    </row>
    <row r="12" spans="1:8" x14ac:dyDescent="0.25">
      <c r="B12">
        <f>IF(Workings!B12&lt;(Finage+Yrsann),Workings!B12,"")</f>
        <v>29</v>
      </c>
      <c r="C12" s="4">
        <f>Workings!E12*1000</f>
        <v>63023.255813953489</v>
      </c>
      <c r="D12" s="4">
        <f t="shared" si="0"/>
        <v>13235.372093023256</v>
      </c>
      <c r="E12" s="4">
        <f t="shared" si="2"/>
        <v>49787.883720930229</v>
      </c>
      <c r="F12" s="4">
        <f>1000*Workings!G12/2</f>
        <v>0</v>
      </c>
      <c r="G12" s="4">
        <f t="shared" si="1"/>
        <v>0</v>
      </c>
      <c r="H12" s="4">
        <f t="shared" si="3"/>
        <v>49787.883720930229</v>
      </c>
    </row>
    <row r="13" spans="1:8" x14ac:dyDescent="0.25">
      <c r="B13">
        <f>IF(Workings!B13&lt;(Finage+Yrsann),Workings!B13,"")</f>
        <v>30</v>
      </c>
      <c r="C13" s="4">
        <f>Workings!E13*1000</f>
        <v>64883.720930232557</v>
      </c>
      <c r="D13" s="4">
        <f t="shared" si="0"/>
        <v>13905.139534883721</v>
      </c>
      <c r="E13" s="4">
        <f t="shared" si="2"/>
        <v>50978.58139534884</v>
      </c>
      <c r="F13" s="4">
        <f>1000*Workings!G13/2</f>
        <v>0</v>
      </c>
      <c r="G13" s="4">
        <f t="shared" si="1"/>
        <v>0</v>
      </c>
      <c r="H13" s="4">
        <f t="shared" si="3"/>
        <v>50978.58139534884</v>
      </c>
    </row>
    <row r="14" spans="1:8" x14ac:dyDescent="0.25">
      <c r="B14">
        <f>IF(Workings!B14&lt;(Finage+Yrsann),Workings!B14,"")</f>
        <v>31</v>
      </c>
      <c r="C14" s="4">
        <f>Workings!E14*1000</f>
        <v>66744.186046511633</v>
      </c>
      <c r="D14" s="4">
        <f t="shared" si="0"/>
        <v>14573.744186046513</v>
      </c>
      <c r="E14" s="4">
        <f t="shared" si="2"/>
        <v>52170.441860465122</v>
      </c>
      <c r="F14" s="4">
        <f>1000*Workings!G14/2</f>
        <v>0</v>
      </c>
      <c r="G14" s="4">
        <f t="shared" si="1"/>
        <v>0</v>
      </c>
      <c r="H14" s="4">
        <f t="shared" si="3"/>
        <v>52170.441860465122</v>
      </c>
    </row>
    <row r="15" spans="1:8" x14ac:dyDescent="0.25">
      <c r="B15">
        <f>IF(Workings!B15&lt;(Finage+Yrsann),Workings!B15,"")</f>
        <v>32</v>
      </c>
      <c r="C15" s="4">
        <f>Workings!E15*1000</f>
        <v>68604.651162790702</v>
      </c>
      <c r="D15" s="4">
        <f t="shared" si="0"/>
        <v>15215.604651162794</v>
      </c>
      <c r="E15" s="4">
        <f t="shared" si="2"/>
        <v>53389.046511627908</v>
      </c>
      <c r="F15" s="4">
        <f>1000*Workings!G15/2</f>
        <v>0</v>
      </c>
      <c r="G15" s="4">
        <f t="shared" si="1"/>
        <v>0</v>
      </c>
      <c r="H15" s="4">
        <f t="shared" si="3"/>
        <v>53389.046511627908</v>
      </c>
    </row>
    <row r="16" spans="1:8" x14ac:dyDescent="0.25">
      <c r="B16">
        <f>IF(Workings!B16&lt;(Finage+Yrsann),Workings!B16,"")</f>
        <v>33</v>
      </c>
      <c r="C16" s="4">
        <f>Workings!E16*1000</f>
        <v>70465.116279069771</v>
      </c>
      <c r="D16" s="4">
        <f t="shared" si="0"/>
        <v>15857.465116279071</v>
      </c>
      <c r="E16" s="4">
        <f t="shared" si="2"/>
        <v>54607.651162790702</v>
      </c>
      <c r="F16" s="4">
        <f>1000*Workings!G16/2</f>
        <v>0</v>
      </c>
      <c r="G16" s="4">
        <f t="shared" si="1"/>
        <v>0</v>
      </c>
      <c r="H16" s="4">
        <f t="shared" si="3"/>
        <v>54607.651162790702</v>
      </c>
    </row>
    <row r="17" spans="2:8" x14ac:dyDescent="0.25">
      <c r="B17">
        <f>IF(Workings!B17&lt;(Finage+Yrsann),Workings!B17,"")</f>
        <v>34</v>
      </c>
      <c r="C17" s="4">
        <f>Workings!E17*1000</f>
        <v>72325.58139534884</v>
      </c>
      <c r="D17" s="4">
        <f t="shared" si="0"/>
        <v>16499.325581395351</v>
      </c>
      <c r="E17" s="4">
        <f t="shared" si="2"/>
        <v>55826.255813953489</v>
      </c>
      <c r="F17" s="4">
        <f>1000*Workings!G17/2</f>
        <v>0</v>
      </c>
      <c r="G17" s="4">
        <f t="shared" si="1"/>
        <v>0</v>
      </c>
      <c r="H17" s="4">
        <f t="shared" si="3"/>
        <v>55826.255813953489</v>
      </c>
    </row>
    <row r="18" spans="2:8" x14ac:dyDescent="0.25">
      <c r="B18">
        <f>IF(Workings!B18&lt;(Finage+Yrsann),Workings!B18,"")</f>
        <v>35</v>
      </c>
      <c r="C18" s="4">
        <f>Workings!E18*1000</f>
        <v>74186.046511627908</v>
      </c>
      <c r="D18" s="4">
        <f t="shared" si="0"/>
        <v>17141.18604651163</v>
      </c>
      <c r="E18" s="4">
        <f t="shared" si="2"/>
        <v>57044.860465116275</v>
      </c>
      <c r="F18" s="4">
        <f>1000*Workings!G18/2</f>
        <v>0</v>
      </c>
      <c r="G18" s="4">
        <f t="shared" si="1"/>
        <v>0</v>
      </c>
      <c r="H18" s="4">
        <f t="shared" si="3"/>
        <v>57044.860465116275</v>
      </c>
    </row>
    <row r="19" spans="2:8" x14ac:dyDescent="0.25">
      <c r="B19">
        <f>IF(Workings!B19&lt;(Finage+Yrsann),Workings!B19,"")</f>
        <v>36</v>
      </c>
      <c r="C19" s="4">
        <f>Workings!E19*1000</f>
        <v>76046.511627906977</v>
      </c>
      <c r="D19" s="4">
        <f t="shared" si="0"/>
        <v>17783.046511627908</v>
      </c>
      <c r="E19" s="4">
        <f t="shared" si="2"/>
        <v>58263.465116279069</v>
      </c>
      <c r="F19" s="4">
        <f>1000*Workings!G19/2</f>
        <v>0</v>
      </c>
      <c r="G19" s="4">
        <f t="shared" si="1"/>
        <v>0</v>
      </c>
      <c r="H19" s="4">
        <f t="shared" si="3"/>
        <v>58263.465116279069</v>
      </c>
    </row>
    <row r="20" spans="2:8" x14ac:dyDescent="0.25">
      <c r="B20">
        <f>IF(Workings!B20&lt;(Finage+Yrsann),Workings!B20,"")</f>
        <v>37</v>
      </c>
      <c r="C20" s="4">
        <f>Workings!E20*1000</f>
        <v>77906.976744186046</v>
      </c>
      <c r="D20" s="4">
        <f t="shared" si="0"/>
        <v>18424.906976744187</v>
      </c>
      <c r="E20" s="4">
        <f t="shared" si="2"/>
        <v>59482.069767441862</v>
      </c>
      <c r="F20" s="4">
        <f>1000*Workings!G20/2</f>
        <v>0</v>
      </c>
      <c r="G20" s="4">
        <f t="shared" si="1"/>
        <v>0</v>
      </c>
      <c r="H20" s="4">
        <f t="shared" si="3"/>
        <v>59482.069767441862</v>
      </c>
    </row>
    <row r="21" spans="2:8" x14ac:dyDescent="0.25">
      <c r="B21">
        <f>IF(Workings!B21&lt;(Finage+Yrsann),Workings!B21,"")</f>
        <v>38</v>
      </c>
      <c r="C21" s="4">
        <f>Workings!E21*1000</f>
        <v>79767.441860465115</v>
      </c>
      <c r="D21" s="4">
        <f t="shared" si="0"/>
        <v>19066.767441860462</v>
      </c>
      <c r="E21" s="4">
        <f t="shared" si="2"/>
        <v>60700.674418604656</v>
      </c>
      <c r="F21" s="4">
        <f>1000*Workings!G21/2</f>
        <v>0</v>
      </c>
      <c r="G21" s="4">
        <f t="shared" si="1"/>
        <v>0</v>
      </c>
      <c r="H21" s="4">
        <f t="shared" si="3"/>
        <v>60700.674418604656</v>
      </c>
    </row>
    <row r="22" spans="2:8" x14ac:dyDescent="0.25">
      <c r="B22">
        <f>IF(Workings!B22&lt;(Finage+Yrsann),Workings!B22,"")</f>
        <v>39</v>
      </c>
      <c r="C22" s="4">
        <f>Workings!E22*1000</f>
        <v>81627.906976744183</v>
      </c>
      <c r="D22" s="4">
        <f t="shared" si="0"/>
        <v>19708.627906976748</v>
      </c>
      <c r="E22" s="4">
        <f t="shared" si="2"/>
        <v>61919.279069767435</v>
      </c>
      <c r="F22" s="4">
        <f>1000*Workings!G22/2</f>
        <v>0</v>
      </c>
      <c r="G22" s="4">
        <f t="shared" si="1"/>
        <v>0</v>
      </c>
      <c r="H22" s="4">
        <f t="shared" si="3"/>
        <v>61919.279069767435</v>
      </c>
    </row>
    <row r="23" spans="2:8" x14ac:dyDescent="0.25">
      <c r="B23">
        <f>IF(Workings!B23&lt;(Finage+Yrsann),Workings!B23,"")</f>
        <v>40</v>
      </c>
      <c r="C23" s="4">
        <f>Workings!E23*1000</f>
        <v>83488.372093023252</v>
      </c>
      <c r="D23" s="4">
        <f t="shared" si="0"/>
        <v>20350.488372093023</v>
      </c>
      <c r="E23" s="4">
        <f t="shared" si="2"/>
        <v>63137.883720930229</v>
      </c>
      <c r="F23" s="4">
        <f>1000*Workings!G23/2</f>
        <v>0</v>
      </c>
      <c r="G23" s="4">
        <f t="shared" si="1"/>
        <v>0</v>
      </c>
      <c r="H23" s="4">
        <f t="shared" si="3"/>
        <v>63137.883720930229</v>
      </c>
    </row>
    <row r="24" spans="2:8" x14ac:dyDescent="0.25">
      <c r="B24">
        <f>IF(Workings!B24&lt;(Finage+Yrsann),Workings!B24,"")</f>
        <v>41</v>
      </c>
      <c r="C24" s="4">
        <f>Workings!E24*1000</f>
        <v>85348.837209302335</v>
      </c>
      <c r="D24" s="4">
        <f t="shared" si="0"/>
        <v>20992.348837209305</v>
      </c>
      <c r="E24" s="4">
        <f t="shared" si="2"/>
        <v>64356.48837209303</v>
      </c>
      <c r="F24" s="4">
        <f>1000*Workings!G24/2</f>
        <v>0</v>
      </c>
      <c r="G24" s="4">
        <f t="shared" si="1"/>
        <v>0</v>
      </c>
      <c r="H24" s="4">
        <f t="shared" si="3"/>
        <v>64356.48837209303</v>
      </c>
    </row>
    <row r="25" spans="2:8" x14ac:dyDescent="0.25">
      <c r="B25">
        <f>IF(Workings!B25&lt;(Finage+Yrsann),Workings!B25,"")</f>
        <v>42</v>
      </c>
      <c r="C25" s="4">
        <f>Workings!E25*1000</f>
        <v>87209.302325581404</v>
      </c>
      <c r="D25" s="4">
        <f t="shared" si="0"/>
        <v>21643.627906976748</v>
      </c>
      <c r="E25" s="4">
        <f t="shared" si="2"/>
        <v>65565.674418604656</v>
      </c>
      <c r="F25" s="4">
        <f>1000*Workings!G25/2</f>
        <v>0</v>
      </c>
      <c r="G25" s="4">
        <f t="shared" si="1"/>
        <v>0</v>
      </c>
      <c r="H25" s="4">
        <f t="shared" si="3"/>
        <v>65565.674418604656</v>
      </c>
    </row>
    <row r="26" spans="2:8" x14ac:dyDescent="0.25">
      <c r="B26">
        <f>IF(Workings!B26&lt;(Finage+Yrsann),Workings!B26,"")</f>
        <v>43</v>
      </c>
      <c r="C26" s="4">
        <f>Workings!E26*1000</f>
        <v>89069.767441860458</v>
      </c>
      <c r="D26" s="4">
        <f t="shared" si="0"/>
        <v>22369.20930232558</v>
      </c>
      <c r="E26" s="4">
        <f t="shared" si="2"/>
        <v>66700.558139534871</v>
      </c>
      <c r="F26" s="4">
        <f>1000*Workings!G26/2</f>
        <v>0</v>
      </c>
      <c r="G26" s="4">
        <f t="shared" si="1"/>
        <v>0</v>
      </c>
      <c r="H26" s="4">
        <f t="shared" si="3"/>
        <v>66700.558139534871</v>
      </c>
    </row>
    <row r="27" spans="2:8" x14ac:dyDescent="0.25">
      <c r="B27">
        <f>IF(Workings!B27&lt;(Finage+Yrsann),Workings!B27,"")</f>
        <v>44</v>
      </c>
      <c r="C27" s="4">
        <f>Workings!E27*1000</f>
        <v>90930.232558139542</v>
      </c>
      <c r="D27" s="4">
        <f t="shared" si="0"/>
        <v>23094.79069767442</v>
      </c>
      <c r="E27" s="4">
        <f t="shared" si="2"/>
        <v>67835.441860465129</v>
      </c>
      <c r="F27" s="4">
        <f>1000*Workings!G27/2</f>
        <v>0</v>
      </c>
      <c r="G27" s="4">
        <f t="shared" si="1"/>
        <v>0</v>
      </c>
      <c r="H27" s="4">
        <f t="shared" si="3"/>
        <v>67835.441860465129</v>
      </c>
    </row>
    <row r="28" spans="2:8" x14ac:dyDescent="0.25">
      <c r="B28">
        <f>IF(Workings!B28&lt;(Finage+Yrsann),Workings!B28,"")</f>
        <v>45</v>
      </c>
      <c r="C28" s="4">
        <f>Workings!E28*1000</f>
        <v>92790.697674418596</v>
      </c>
      <c r="D28" s="4">
        <f t="shared" si="0"/>
        <v>23820.372093023252</v>
      </c>
      <c r="E28" s="4">
        <f t="shared" si="2"/>
        <v>68970.325581395344</v>
      </c>
      <c r="F28" s="4">
        <f>1000*Workings!G28/2</f>
        <v>0</v>
      </c>
      <c r="G28" s="4">
        <f t="shared" si="1"/>
        <v>0</v>
      </c>
      <c r="H28" s="4">
        <f t="shared" si="3"/>
        <v>68970.325581395344</v>
      </c>
    </row>
    <row r="29" spans="2:8" x14ac:dyDescent="0.25">
      <c r="B29">
        <f>IF(Workings!B29&lt;(Finage+Yrsann),Workings!B29,"")</f>
        <v>46</v>
      </c>
      <c r="C29" s="4">
        <f>Workings!E29*1000</f>
        <v>94651.162790697665</v>
      </c>
      <c r="D29" s="4">
        <f t="shared" si="0"/>
        <v>24545.953488372092</v>
      </c>
      <c r="E29" s="4">
        <f t="shared" si="2"/>
        <v>70105.209302325573</v>
      </c>
      <c r="F29" s="4">
        <f>1000*Workings!G29/2</f>
        <v>0</v>
      </c>
      <c r="G29" s="4">
        <f t="shared" si="1"/>
        <v>0</v>
      </c>
      <c r="H29" s="4">
        <f t="shared" si="3"/>
        <v>70105.209302325573</v>
      </c>
    </row>
    <row r="30" spans="2:8" x14ac:dyDescent="0.25">
      <c r="B30">
        <f>IF(Workings!B30&lt;(Finage+Yrsann),Workings!B30,"")</f>
        <v>47</v>
      </c>
      <c r="C30" s="4">
        <f>Workings!E30*1000</f>
        <v>96511.627906976748</v>
      </c>
      <c r="D30" s="4">
        <f t="shared" si="0"/>
        <v>25271.534883720931</v>
      </c>
      <c r="E30" s="4">
        <f t="shared" si="2"/>
        <v>71240.093023255817</v>
      </c>
      <c r="F30" s="4">
        <f>1000*Workings!G30/2</f>
        <v>0</v>
      </c>
      <c r="G30" s="4">
        <f t="shared" si="1"/>
        <v>0</v>
      </c>
      <c r="H30" s="4">
        <f t="shared" si="3"/>
        <v>71240.093023255817</v>
      </c>
    </row>
    <row r="31" spans="2:8" x14ac:dyDescent="0.25">
      <c r="B31">
        <f>IF(Workings!B31&lt;(Finage+Yrsann),Workings!B31,"")</f>
        <v>48</v>
      </c>
      <c r="C31" s="4">
        <f>Workings!E31*1000</f>
        <v>98372.093023255817</v>
      </c>
      <c r="D31" s="4">
        <f t="shared" si="0"/>
        <v>25997.116279069771</v>
      </c>
      <c r="E31" s="4">
        <f t="shared" si="2"/>
        <v>72374.976744186046</v>
      </c>
      <c r="F31" s="4">
        <f>1000*Workings!G31/2</f>
        <v>0</v>
      </c>
      <c r="G31" s="4">
        <f t="shared" si="1"/>
        <v>0</v>
      </c>
      <c r="H31" s="4">
        <f t="shared" si="3"/>
        <v>72374.976744186046</v>
      </c>
    </row>
    <row r="32" spans="2:8" x14ac:dyDescent="0.25">
      <c r="B32">
        <f>IF(Workings!B32&lt;(Finage+Yrsann),Workings!B32,"")</f>
        <v>49</v>
      </c>
      <c r="C32" s="4">
        <f>Workings!E32*1000</f>
        <v>100232.55813953489</v>
      </c>
      <c r="D32" s="4">
        <f t="shared" si="0"/>
        <v>26722.697674418607</v>
      </c>
      <c r="E32" s="4">
        <f t="shared" si="2"/>
        <v>73509.860465116275</v>
      </c>
      <c r="F32" s="4">
        <f>1000*Workings!G32/2</f>
        <v>0</v>
      </c>
      <c r="G32" s="4">
        <f t="shared" si="1"/>
        <v>0</v>
      </c>
      <c r="H32" s="4">
        <f t="shared" si="3"/>
        <v>73509.860465116275</v>
      </c>
    </row>
    <row r="33" spans="2:8" x14ac:dyDescent="0.25">
      <c r="B33">
        <f>IF(Workings!B33&lt;(Finage+Yrsann),Workings!B33,"")</f>
        <v>50</v>
      </c>
      <c r="C33" s="4">
        <f>Workings!E33*1000</f>
        <v>102093.02325581395</v>
      </c>
      <c r="D33" s="4">
        <f t="shared" si="0"/>
        <v>27448.279069767443</v>
      </c>
      <c r="E33" s="4">
        <f t="shared" si="2"/>
        <v>74644.744186046504</v>
      </c>
      <c r="F33" s="4">
        <f>1000*Workings!G33/2</f>
        <v>0</v>
      </c>
      <c r="G33" s="4">
        <f t="shared" si="1"/>
        <v>0</v>
      </c>
      <c r="H33" s="4">
        <f t="shared" si="3"/>
        <v>74644.744186046504</v>
      </c>
    </row>
    <row r="34" spans="2:8" x14ac:dyDescent="0.25">
      <c r="B34">
        <f>IF(Workings!B34&lt;(Finage+Yrsann),Workings!B34,"")</f>
        <v>51</v>
      </c>
      <c r="C34" s="4">
        <f>Workings!E34*1000</f>
        <v>103953.48837209304</v>
      </c>
      <c r="D34" s="4">
        <f t="shared" si="0"/>
        <v>28173.860465116282</v>
      </c>
      <c r="E34" s="4">
        <f t="shared" si="2"/>
        <v>75779.627906976762</v>
      </c>
      <c r="F34" s="4">
        <f>1000*Workings!G34/2</f>
        <v>0</v>
      </c>
      <c r="G34" s="4">
        <f t="shared" si="1"/>
        <v>0</v>
      </c>
      <c r="H34" s="4">
        <f t="shared" si="3"/>
        <v>75779.627906976762</v>
      </c>
    </row>
    <row r="35" spans="2:8" x14ac:dyDescent="0.25">
      <c r="B35">
        <f>IF(Workings!B35&lt;(Finage+Yrsann),Workings!B35,"")</f>
        <v>52</v>
      </c>
      <c r="C35" s="4">
        <f>Workings!E35*1000</f>
        <v>105813.95348837209</v>
      </c>
      <c r="D35" s="4">
        <f t="shared" si="0"/>
        <v>28899.441860465115</v>
      </c>
      <c r="E35" s="4">
        <f t="shared" si="2"/>
        <v>76914.511627906977</v>
      </c>
      <c r="F35" s="4">
        <f>1000*Workings!G35/2</f>
        <v>0</v>
      </c>
      <c r="G35" s="4">
        <f t="shared" si="1"/>
        <v>0</v>
      </c>
      <c r="H35" s="4">
        <f t="shared" si="3"/>
        <v>76914.511627906977</v>
      </c>
    </row>
    <row r="36" spans="2:8" x14ac:dyDescent="0.25">
      <c r="B36">
        <f>IF(Workings!B36&lt;(Finage+Yrsann),Workings!B36,"")</f>
        <v>53</v>
      </c>
      <c r="C36" s="4">
        <f>Workings!E36*1000</f>
        <v>107674.41860465116</v>
      </c>
      <c r="D36" s="4">
        <f t="shared" si="0"/>
        <v>29625.023255813954</v>
      </c>
      <c r="E36" s="4">
        <f t="shared" si="2"/>
        <v>78049.395348837206</v>
      </c>
      <c r="F36" s="4">
        <f>1000*Workings!G36/2</f>
        <v>0</v>
      </c>
      <c r="G36" s="4">
        <f t="shared" si="1"/>
        <v>0</v>
      </c>
      <c r="H36" s="4">
        <f t="shared" si="3"/>
        <v>78049.395348837206</v>
      </c>
    </row>
    <row r="37" spans="2:8" x14ac:dyDescent="0.25">
      <c r="B37">
        <f>IF(Workings!B37&lt;(Finage+Yrsann),Workings!B37,"")</f>
        <v>54</v>
      </c>
      <c r="C37" s="4">
        <f>Workings!E37*1000</f>
        <v>109534.88372093023</v>
      </c>
      <c r="D37" s="4">
        <f t="shared" ref="D37:D68" si="4">VLOOKUP(C37,Taxtable,3)+VLOOKUP(C37,Taxtable,4)*(C37-VLOOKUP(C37,Taxtable,1))+C37*Mlevy-IF(C37&lt;Litomax,IF(C37&lt;Litomin,Litobase,(Litobase-(C37-Litomin)*Litotaper)),0)</f>
        <v>30350.604651162786</v>
      </c>
      <c r="E37" s="4">
        <f t="shared" si="2"/>
        <v>79184.27906976745</v>
      </c>
      <c r="F37" s="4">
        <f>1000*Workings!G37/2</f>
        <v>0</v>
      </c>
      <c r="G37" s="4">
        <f t="shared" ref="G37:G68" si="5">IF(B37&lt;=Finage,0,Anny*1000)</f>
        <v>0</v>
      </c>
      <c r="H37" s="4">
        <f t="shared" si="3"/>
        <v>79184.27906976745</v>
      </c>
    </row>
    <row r="38" spans="2:8" x14ac:dyDescent="0.25">
      <c r="B38">
        <f>IF(Workings!B38&lt;(Finage+Yrsann),Workings!B38,"")</f>
        <v>55</v>
      </c>
      <c r="C38" s="4">
        <f>Workings!E38*1000</f>
        <v>111395.3488372093</v>
      </c>
      <c r="D38" s="4">
        <f t="shared" si="4"/>
        <v>31076.18604651163</v>
      </c>
      <c r="E38" s="4">
        <f t="shared" si="2"/>
        <v>80319.162790697665</v>
      </c>
      <c r="F38" s="4">
        <f>1000*Workings!G38/2</f>
        <v>0</v>
      </c>
      <c r="G38" s="4">
        <f t="shared" si="5"/>
        <v>0</v>
      </c>
      <c r="H38" s="4">
        <f t="shared" si="3"/>
        <v>80319.162790697665</v>
      </c>
    </row>
    <row r="39" spans="2:8" x14ac:dyDescent="0.25">
      <c r="B39">
        <f>IF(Workings!B39&lt;(Finage+Yrsann),Workings!B39,"")</f>
        <v>56</v>
      </c>
      <c r="C39" s="4">
        <f>Workings!E39*1000</f>
        <v>113255.81395348837</v>
      </c>
      <c r="D39" s="4">
        <f t="shared" si="4"/>
        <v>31801.767441860462</v>
      </c>
      <c r="E39" s="4">
        <f t="shared" si="2"/>
        <v>81454.046511627908</v>
      </c>
      <c r="F39" s="4">
        <f>1000*Workings!G39/2</f>
        <v>0</v>
      </c>
      <c r="G39" s="4">
        <f t="shared" si="5"/>
        <v>0</v>
      </c>
      <c r="H39" s="4">
        <f t="shared" si="3"/>
        <v>81454.046511627908</v>
      </c>
    </row>
    <row r="40" spans="2:8" x14ac:dyDescent="0.25">
      <c r="B40">
        <f>IF(Workings!B40&lt;(Finage+Yrsann),Workings!B40,"")</f>
        <v>57</v>
      </c>
      <c r="C40" s="4">
        <f>Workings!E40*1000</f>
        <v>115116.27906976745</v>
      </c>
      <c r="D40" s="4">
        <f t="shared" si="4"/>
        <v>32527.348837209305</v>
      </c>
      <c r="E40" s="4">
        <f t="shared" si="2"/>
        <v>82588.930232558138</v>
      </c>
      <c r="F40" s="4">
        <f>1000*Workings!G40/2</f>
        <v>0</v>
      </c>
      <c r="G40" s="4">
        <f t="shared" si="5"/>
        <v>0</v>
      </c>
      <c r="H40" s="4">
        <f t="shared" si="3"/>
        <v>82588.930232558138</v>
      </c>
    </row>
    <row r="41" spans="2:8" x14ac:dyDescent="0.25">
      <c r="B41">
        <f>IF(Workings!B41&lt;(Finage+Yrsann),Workings!B41,"")</f>
        <v>58</v>
      </c>
      <c r="C41" s="4">
        <f>Workings!E41*1000</f>
        <v>116976.74418604652</v>
      </c>
      <c r="D41" s="4">
        <f t="shared" si="4"/>
        <v>33252.930232558145</v>
      </c>
      <c r="E41" s="4">
        <f t="shared" si="2"/>
        <v>83723.813953488367</v>
      </c>
      <c r="F41" s="4">
        <f>1000*Workings!G41/2</f>
        <v>0</v>
      </c>
      <c r="G41" s="4">
        <f t="shared" si="5"/>
        <v>0</v>
      </c>
      <c r="H41" s="4">
        <f t="shared" si="3"/>
        <v>83723.813953488367</v>
      </c>
    </row>
    <row r="42" spans="2:8" x14ac:dyDescent="0.25">
      <c r="B42">
        <f>IF(Workings!B42&lt;(Finage+Yrsann),Workings!B42,"")</f>
        <v>59</v>
      </c>
      <c r="C42" s="4">
        <f>Workings!E42*1000</f>
        <v>118837.20930232557</v>
      </c>
      <c r="D42" s="4">
        <f t="shared" si="4"/>
        <v>33978.511627906977</v>
      </c>
      <c r="E42" s="4">
        <f t="shared" si="2"/>
        <v>84858.697674418596</v>
      </c>
      <c r="F42" s="4">
        <f>1000*Workings!G42/2</f>
        <v>0</v>
      </c>
      <c r="G42" s="4">
        <f t="shared" si="5"/>
        <v>0</v>
      </c>
      <c r="H42" s="4">
        <f t="shared" si="3"/>
        <v>84858.697674418596</v>
      </c>
    </row>
    <row r="43" spans="2:8" x14ac:dyDescent="0.25">
      <c r="B43">
        <f>IF(Workings!B43&lt;(Finage+Yrsann),Workings!B43,"")</f>
        <v>60</v>
      </c>
      <c r="C43" s="4">
        <f>Workings!E43*1000</f>
        <v>120697.67441860464</v>
      </c>
      <c r="D43" s="4">
        <f t="shared" si="4"/>
        <v>34704.093023255809</v>
      </c>
      <c r="E43" s="4">
        <f t="shared" si="2"/>
        <v>85993.581395348825</v>
      </c>
      <c r="F43" s="4">
        <f>1000*Workings!G43/2</f>
        <v>0</v>
      </c>
      <c r="G43" s="4">
        <f t="shared" si="5"/>
        <v>0</v>
      </c>
      <c r="H43" s="4">
        <f t="shared" si="3"/>
        <v>85993.581395348825</v>
      </c>
    </row>
    <row r="44" spans="2:8" x14ac:dyDescent="0.25">
      <c r="B44">
        <f>IF(Workings!B44&lt;(Finage+Yrsann),Workings!B44,"")</f>
        <v>61</v>
      </c>
      <c r="C44" s="4">
        <f>Workings!E44*1000</f>
        <v>122558.13953488372</v>
      </c>
      <c r="D44" s="4">
        <f t="shared" si="4"/>
        <v>35429.674418604649</v>
      </c>
      <c r="E44" s="4">
        <f t="shared" si="2"/>
        <v>87128.465116279083</v>
      </c>
      <c r="F44" s="4">
        <f>1000*Workings!G44/2</f>
        <v>0</v>
      </c>
      <c r="G44" s="4">
        <f t="shared" si="5"/>
        <v>0</v>
      </c>
      <c r="H44" s="4">
        <f t="shared" si="3"/>
        <v>87128.465116279083</v>
      </c>
    </row>
    <row r="45" spans="2:8" x14ac:dyDescent="0.25">
      <c r="B45">
        <f>IF(Workings!B45&lt;(Finage+Yrsann),Workings!B45,"")</f>
        <v>62</v>
      </c>
      <c r="C45" s="4">
        <f>Workings!E45*1000</f>
        <v>124418.60465116279</v>
      </c>
      <c r="D45" s="4">
        <f t="shared" si="4"/>
        <v>36155.255813953481</v>
      </c>
      <c r="E45" s="4">
        <f t="shared" si="2"/>
        <v>88263.348837209312</v>
      </c>
      <c r="F45" s="4">
        <f>1000*Workings!G45/2</f>
        <v>0</v>
      </c>
      <c r="G45" s="4">
        <f t="shared" si="5"/>
        <v>0</v>
      </c>
      <c r="H45" s="4">
        <f t="shared" si="3"/>
        <v>88263.348837209312</v>
      </c>
    </row>
    <row r="46" spans="2:8" x14ac:dyDescent="0.25">
      <c r="B46">
        <f>IF(Workings!B46&lt;(Finage+Yrsann),Workings!B46,"")</f>
        <v>63</v>
      </c>
      <c r="C46" s="4">
        <f>Workings!E46*1000</f>
        <v>126279.06976744185</v>
      </c>
      <c r="D46" s="4">
        <f t="shared" si="4"/>
        <v>36880.837209302321</v>
      </c>
      <c r="E46" s="4">
        <f t="shared" si="2"/>
        <v>89398.232558139527</v>
      </c>
      <c r="F46" s="4">
        <f>1000*Workings!G46/2</f>
        <v>0</v>
      </c>
      <c r="G46" s="4">
        <f t="shared" si="5"/>
        <v>0</v>
      </c>
      <c r="H46" s="4">
        <f t="shared" si="3"/>
        <v>89398.232558139527</v>
      </c>
    </row>
    <row r="47" spans="2:8" x14ac:dyDescent="0.25">
      <c r="B47">
        <f>IF(Workings!B47&lt;(Finage+Yrsann),Workings!B47,"")</f>
        <v>64</v>
      </c>
      <c r="C47" s="4">
        <f>Workings!E47*1000</f>
        <v>128139.53488372093</v>
      </c>
      <c r="D47" s="4">
        <f t="shared" si="4"/>
        <v>37606.418604651168</v>
      </c>
      <c r="E47" s="4">
        <f t="shared" si="2"/>
        <v>90533.116279069771</v>
      </c>
      <c r="F47" s="4">
        <f>1000*Workings!G47/2</f>
        <v>0</v>
      </c>
      <c r="G47" s="4">
        <f t="shared" si="5"/>
        <v>0</v>
      </c>
      <c r="H47" s="4">
        <f t="shared" si="3"/>
        <v>90533.116279069771</v>
      </c>
    </row>
    <row r="48" spans="2:8" x14ac:dyDescent="0.25">
      <c r="B48">
        <f>IF(Workings!B48&lt;(Finage+Yrsann),Workings!B48,"")</f>
        <v>65</v>
      </c>
      <c r="C48" s="4">
        <f>Workings!E48*1000</f>
        <v>130000</v>
      </c>
      <c r="D48" s="4">
        <f t="shared" si="4"/>
        <v>38332</v>
      </c>
      <c r="E48" s="4">
        <f t="shared" si="2"/>
        <v>91668</v>
      </c>
      <c r="F48" s="4">
        <f>1000*Workings!G48/2</f>
        <v>0</v>
      </c>
      <c r="G48" s="4">
        <f t="shared" si="5"/>
        <v>0</v>
      </c>
      <c r="H48" s="4">
        <f t="shared" si="3"/>
        <v>91668</v>
      </c>
    </row>
    <row r="49" spans="2:8" x14ac:dyDescent="0.25">
      <c r="B49">
        <f>IF(Workings!B49&lt;(Finage+Yrsann),Workings!B49,"")</f>
        <v>66</v>
      </c>
      <c r="C49" s="4">
        <f>Workings!E49*1000</f>
        <v>0</v>
      </c>
      <c r="D49" s="4">
        <f t="shared" si="4"/>
        <v>-445</v>
      </c>
      <c r="E49" s="4">
        <f>IF(C49&gt;0,C49-D49,0)</f>
        <v>0</v>
      </c>
      <c r="F49" s="4">
        <f>1000*Workings!G49/2</f>
        <v>0</v>
      </c>
      <c r="G49" s="4">
        <f t="shared" si="5"/>
        <v>46762.112668271679</v>
      </c>
      <c r="H49" s="4">
        <f t="shared" si="3"/>
        <v>46762.112668271679</v>
      </c>
    </row>
    <row r="50" spans="2:8" x14ac:dyDescent="0.25">
      <c r="B50">
        <f>IF(Workings!B50&lt;(Finage+Yrsann),Workings!B50,"")</f>
        <v>67</v>
      </c>
      <c r="C50" s="4">
        <f>Workings!E50*1000</f>
        <v>0</v>
      </c>
      <c r="D50" s="4">
        <f t="shared" si="4"/>
        <v>-445</v>
      </c>
      <c r="E50" s="4">
        <f t="shared" si="2"/>
        <v>0</v>
      </c>
      <c r="F50" s="4">
        <f>1000*Workings!G50/2</f>
        <v>0</v>
      </c>
      <c r="G50" s="4">
        <f t="shared" si="5"/>
        <v>46762.112668271679</v>
      </c>
      <c r="H50" s="4">
        <f t="shared" si="3"/>
        <v>46762.112668271679</v>
      </c>
    </row>
    <row r="51" spans="2:8" x14ac:dyDescent="0.25">
      <c r="B51">
        <f>IF(Workings!B51&lt;(Finage+Yrsann),Workings!B51,"")</f>
        <v>68</v>
      </c>
      <c r="C51" s="4">
        <f>Workings!E51*1000</f>
        <v>0</v>
      </c>
      <c r="D51" s="4">
        <f t="shared" si="4"/>
        <v>-445</v>
      </c>
      <c r="E51" s="4">
        <f t="shared" si="2"/>
        <v>0</v>
      </c>
      <c r="F51" s="4">
        <f>1000*Workings!G51/2</f>
        <v>0</v>
      </c>
      <c r="G51" s="4">
        <f t="shared" si="5"/>
        <v>46762.112668271679</v>
      </c>
      <c r="H51" s="4">
        <f t="shared" si="3"/>
        <v>46762.112668271679</v>
      </c>
    </row>
    <row r="52" spans="2:8" x14ac:dyDescent="0.25">
      <c r="B52">
        <f>IF(Workings!B52&lt;(Finage+Yrsann),Workings!B52,"")</f>
        <v>69</v>
      </c>
      <c r="C52" s="4">
        <f>Workings!E52*1000</f>
        <v>0</v>
      </c>
      <c r="D52" s="4">
        <f t="shared" si="4"/>
        <v>-445</v>
      </c>
      <c r="E52" s="4">
        <f t="shared" si="2"/>
        <v>0</v>
      </c>
      <c r="F52" s="4">
        <f>1000*Workings!G52/2</f>
        <v>0</v>
      </c>
      <c r="G52" s="4">
        <f t="shared" si="5"/>
        <v>46762.112668271679</v>
      </c>
      <c r="H52" s="4">
        <f t="shared" si="3"/>
        <v>46762.112668271679</v>
      </c>
    </row>
    <row r="53" spans="2:8" x14ac:dyDescent="0.25">
      <c r="B53">
        <f>IF(Workings!B53&lt;(Finage+Yrsann),Workings!B53,"")</f>
        <v>70</v>
      </c>
      <c r="C53" s="4">
        <f>Workings!E53*1000</f>
        <v>0</v>
      </c>
      <c r="D53" s="4">
        <f t="shared" si="4"/>
        <v>-445</v>
      </c>
      <c r="E53" s="4">
        <f t="shared" si="2"/>
        <v>0</v>
      </c>
      <c r="F53" s="4">
        <f>1000*Workings!G53/2</f>
        <v>0</v>
      </c>
      <c r="G53" s="4">
        <f t="shared" si="5"/>
        <v>46762.112668271679</v>
      </c>
      <c r="H53" s="4">
        <f t="shared" si="3"/>
        <v>46762.112668271679</v>
      </c>
    </row>
    <row r="54" spans="2:8" x14ac:dyDescent="0.25">
      <c r="B54">
        <f>IF(Workings!B54&lt;(Finage+Yrsann),Workings!B54,"")</f>
        <v>71</v>
      </c>
      <c r="C54" s="4">
        <f>Workings!E54*1000</f>
        <v>0</v>
      </c>
      <c r="D54" s="4">
        <f t="shared" si="4"/>
        <v>-445</v>
      </c>
      <c r="E54" s="4">
        <f t="shared" si="2"/>
        <v>0</v>
      </c>
      <c r="F54" s="4">
        <f>1000*Workings!G54/2</f>
        <v>0</v>
      </c>
      <c r="G54" s="4">
        <f t="shared" si="5"/>
        <v>46762.112668271679</v>
      </c>
      <c r="H54" s="4">
        <f t="shared" si="3"/>
        <v>46762.112668271679</v>
      </c>
    </row>
    <row r="55" spans="2:8" x14ac:dyDescent="0.25">
      <c r="B55">
        <f>IF(Workings!B55&lt;(Finage+Yrsann),Workings!B55,"")</f>
        <v>72</v>
      </c>
      <c r="C55" s="4">
        <f>Workings!E55*1000</f>
        <v>0</v>
      </c>
      <c r="D55" s="4">
        <f t="shared" si="4"/>
        <v>-445</v>
      </c>
      <c r="E55" s="4">
        <f t="shared" si="2"/>
        <v>0</v>
      </c>
      <c r="F55" s="4">
        <f>1000*Workings!G55/2</f>
        <v>0</v>
      </c>
      <c r="G55" s="4">
        <f t="shared" si="5"/>
        <v>46762.112668271679</v>
      </c>
      <c r="H55" s="4">
        <f t="shared" si="3"/>
        <v>46762.112668271679</v>
      </c>
    </row>
    <row r="56" spans="2:8" x14ac:dyDescent="0.25">
      <c r="B56">
        <f>IF(Workings!B56&lt;(Finage+Yrsann),Workings!B56,"")</f>
        <v>73</v>
      </c>
      <c r="C56" s="4">
        <f>Workings!E56*1000</f>
        <v>0</v>
      </c>
      <c r="D56" s="4">
        <f t="shared" si="4"/>
        <v>-445</v>
      </c>
      <c r="E56" s="4">
        <f t="shared" si="2"/>
        <v>0</v>
      </c>
      <c r="F56" s="4">
        <f>1000*Workings!G56/2</f>
        <v>0</v>
      </c>
      <c r="G56" s="4">
        <f t="shared" si="5"/>
        <v>46762.112668271679</v>
      </c>
      <c r="H56" s="4">
        <f t="shared" si="3"/>
        <v>46762.112668271679</v>
      </c>
    </row>
    <row r="57" spans="2:8" x14ac:dyDescent="0.25">
      <c r="B57">
        <f>IF(Workings!B57&lt;(Finage+Yrsann),Workings!B57,"")</f>
        <v>74</v>
      </c>
      <c r="C57" s="4">
        <f>Workings!E57*1000</f>
        <v>0</v>
      </c>
      <c r="D57" s="4">
        <f t="shared" si="4"/>
        <v>-445</v>
      </c>
      <c r="E57" s="4">
        <f t="shared" si="2"/>
        <v>0</v>
      </c>
      <c r="F57" s="4">
        <f>1000*Workings!G57/2</f>
        <v>0</v>
      </c>
      <c r="G57" s="4">
        <f t="shared" si="5"/>
        <v>46762.112668271679</v>
      </c>
      <c r="H57" s="4">
        <f t="shared" si="3"/>
        <v>46762.112668271679</v>
      </c>
    </row>
    <row r="58" spans="2:8" x14ac:dyDescent="0.25">
      <c r="B58">
        <f>IF(Workings!B58&lt;(Finage+Yrsann),Workings!B58,"")</f>
        <v>75</v>
      </c>
      <c r="C58" s="4">
        <f>Workings!E58*1000</f>
        <v>0</v>
      </c>
      <c r="D58" s="4">
        <f t="shared" si="4"/>
        <v>-445</v>
      </c>
      <c r="E58" s="4">
        <f t="shared" si="2"/>
        <v>0</v>
      </c>
      <c r="F58" s="4">
        <f>1000*Workings!G58/2</f>
        <v>0</v>
      </c>
      <c r="G58" s="4">
        <f t="shared" si="5"/>
        <v>46762.112668271679</v>
      </c>
      <c r="H58" s="4">
        <f t="shared" si="3"/>
        <v>46762.112668271679</v>
      </c>
    </row>
    <row r="59" spans="2:8" x14ac:dyDescent="0.25">
      <c r="B59">
        <f>IF(Workings!B59&lt;(Finage+Yrsann),Workings!B59,"")</f>
        <v>76</v>
      </c>
      <c r="C59" s="4">
        <f>Workings!E59*1000</f>
        <v>0</v>
      </c>
      <c r="D59" s="4">
        <f t="shared" si="4"/>
        <v>-445</v>
      </c>
      <c r="E59" s="4">
        <f t="shared" si="2"/>
        <v>0</v>
      </c>
      <c r="F59" s="4">
        <f>1000*Workings!G59/2</f>
        <v>0</v>
      </c>
      <c r="G59" s="4">
        <f t="shared" si="5"/>
        <v>46762.112668271679</v>
      </c>
      <c r="H59" s="4">
        <f t="shared" si="3"/>
        <v>46762.112668271679</v>
      </c>
    </row>
    <row r="60" spans="2:8" x14ac:dyDescent="0.25">
      <c r="B60">
        <f>IF(Workings!B60&lt;(Finage+Yrsann),Workings!B60,"")</f>
        <v>77</v>
      </c>
      <c r="C60" s="4">
        <f>Workings!E60*1000</f>
        <v>0</v>
      </c>
      <c r="D60" s="4">
        <f t="shared" si="4"/>
        <v>-445</v>
      </c>
      <c r="E60" s="4">
        <f t="shared" si="2"/>
        <v>0</v>
      </c>
      <c r="F60" s="4">
        <f>1000*Workings!G60/2</f>
        <v>0</v>
      </c>
      <c r="G60" s="4">
        <f t="shared" si="5"/>
        <v>46762.112668271679</v>
      </c>
      <c r="H60" s="4">
        <f t="shared" si="3"/>
        <v>46762.112668271679</v>
      </c>
    </row>
    <row r="61" spans="2:8" x14ac:dyDescent="0.25">
      <c r="B61">
        <f>IF(Workings!B61&lt;(Finage+Yrsann),Workings!B61,"")</f>
        <v>78</v>
      </c>
      <c r="C61" s="4">
        <f>Workings!E61*1000</f>
        <v>0</v>
      </c>
      <c r="D61" s="4">
        <f t="shared" si="4"/>
        <v>-445</v>
      </c>
      <c r="E61" s="4">
        <f t="shared" si="2"/>
        <v>0</v>
      </c>
      <c r="F61" s="4">
        <f>1000*Workings!G61/2</f>
        <v>0</v>
      </c>
      <c r="G61" s="4">
        <f t="shared" si="5"/>
        <v>46762.112668271679</v>
      </c>
      <c r="H61" s="4">
        <f t="shared" si="3"/>
        <v>46762.112668271679</v>
      </c>
    </row>
    <row r="62" spans="2:8" x14ac:dyDescent="0.25">
      <c r="B62">
        <f>IF(Workings!B62&lt;(Finage+Yrsann),Workings!B62,"")</f>
        <v>79</v>
      </c>
      <c r="C62" s="4">
        <f>Workings!E62*1000</f>
        <v>0</v>
      </c>
      <c r="D62" s="4">
        <f t="shared" si="4"/>
        <v>-445</v>
      </c>
      <c r="E62" s="4">
        <f t="shared" si="2"/>
        <v>0</v>
      </c>
      <c r="F62" s="4">
        <f>1000*Workings!G62/2</f>
        <v>0</v>
      </c>
      <c r="G62" s="4">
        <f t="shared" si="5"/>
        <v>46762.112668271679</v>
      </c>
      <c r="H62" s="4">
        <f t="shared" si="3"/>
        <v>46762.112668271679</v>
      </c>
    </row>
    <row r="63" spans="2:8" x14ac:dyDescent="0.25">
      <c r="B63">
        <f>IF(Workings!B63&lt;(Finage+Yrsann),Workings!B63,"")</f>
        <v>80</v>
      </c>
      <c r="C63" s="4">
        <f>Workings!E63*1000</f>
        <v>0</v>
      </c>
      <c r="D63" s="4">
        <f t="shared" si="4"/>
        <v>-445</v>
      </c>
      <c r="E63" s="4">
        <f t="shared" si="2"/>
        <v>0</v>
      </c>
      <c r="F63" s="4">
        <f>1000*Workings!G63/2</f>
        <v>0</v>
      </c>
      <c r="G63" s="4">
        <f t="shared" si="5"/>
        <v>46762.112668271679</v>
      </c>
      <c r="H63" s="4">
        <f t="shared" si="3"/>
        <v>46762.112668271679</v>
      </c>
    </row>
    <row r="64" spans="2:8" x14ac:dyDescent="0.25">
      <c r="B64">
        <f>IF(Workings!B64&lt;(Finage+Yrsann),Workings!B64,"")</f>
        <v>81</v>
      </c>
      <c r="C64" s="4">
        <f>Workings!E64*1000</f>
        <v>0</v>
      </c>
      <c r="D64" s="4">
        <f t="shared" si="4"/>
        <v>-445</v>
      </c>
      <c r="E64" s="4">
        <f t="shared" si="2"/>
        <v>0</v>
      </c>
      <c r="F64" s="4">
        <f>1000*Workings!G64/2</f>
        <v>0</v>
      </c>
      <c r="G64" s="4">
        <f t="shared" si="5"/>
        <v>46762.112668271679</v>
      </c>
      <c r="H64" s="4">
        <f t="shared" si="3"/>
        <v>46762.112668271679</v>
      </c>
    </row>
    <row r="65" spans="2:8" x14ac:dyDescent="0.25">
      <c r="B65">
        <f>IF(Workings!B65&lt;(Finage+Yrsann),Workings!B65,"")</f>
        <v>82</v>
      </c>
      <c r="C65" s="4">
        <f>Workings!E65*1000</f>
        <v>0</v>
      </c>
      <c r="D65" s="4">
        <f t="shared" si="4"/>
        <v>-445</v>
      </c>
      <c r="E65" s="4">
        <f t="shared" si="2"/>
        <v>0</v>
      </c>
      <c r="F65" s="4">
        <f>1000*Workings!G65/2</f>
        <v>0</v>
      </c>
      <c r="G65" s="4">
        <f t="shared" si="5"/>
        <v>46762.112668271679</v>
      </c>
      <c r="H65" s="4">
        <f t="shared" si="3"/>
        <v>46762.112668271679</v>
      </c>
    </row>
    <row r="66" spans="2:8" x14ac:dyDescent="0.25">
      <c r="B66">
        <f>IF(Workings!B66&lt;(Finage+Yrsann),Workings!B66,"")</f>
        <v>83</v>
      </c>
      <c r="C66" s="4">
        <f>Workings!E66*1000</f>
        <v>0</v>
      </c>
      <c r="D66" s="4">
        <f t="shared" si="4"/>
        <v>-445</v>
      </c>
      <c r="E66" s="4">
        <f t="shared" si="2"/>
        <v>0</v>
      </c>
      <c r="F66" s="4">
        <f>1000*Workings!G66/2</f>
        <v>0</v>
      </c>
      <c r="G66" s="4">
        <f t="shared" si="5"/>
        <v>46762.112668271679</v>
      </c>
      <c r="H66" s="4">
        <f t="shared" si="3"/>
        <v>46762.112668271679</v>
      </c>
    </row>
    <row r="67" spans="2:8" x14ac:dyDescent="0.25">
      <c r="B67">
        <f>IF(Workings!B67&lt;(Finage+Yrsann),Workings!B67,"")</f>
        <v>84</v>
      </c>
      <c r="C67" s="4">
        <f>Workings!E67*1000</f>
        <v>0</v>
      </c>
      <c r="D67" s="4">
        <f t="shared" si="4"/>
        <v>-445</v>
      </c>
      <c r="E67" s="4">
        <f t="shared" si="2"/>
        <v>0</v>
      </c>
      <c r="F67" s="4">
        <f>1000*Workings!G67/2</f>
        <v>0</v>
      </c>
      <c r="G67" s="4">
        <f t="shared" si="5"/>
        <v>46762.112668271679</v>
      </c>
      <c r="H67" s="4">
        <f t="shared" si="3"/>
        <v>46762.112668271679</v>
      </c>
    </row>
    <row r="68" spans="2:8" x14ac:dyDescent="0.25">
      <c r="B68">
        <f>IF(Workings!B68&lt;(Finage+Yrsann),Workings!B68,"")</f>
        <v>85</v>
      </c>
      <c r="C68" s="4">
        <f>Workings!E68*1000</f>
        <v>0</v>
      </c>
      <c r="D68" s="4">
        <f t="shared" si="4"/>
        <v>-445</v>
      </c>
      <c r="E68" s="4">
        <f t="shared" si="2"/>
        <v>0</v>
      </c>
      <c r="F68" s="4">
        <f>1000*Workings!G68/2</f>
        <v>0</v>
      </c>
      <c r="G68" s="4">
        <f t="shared" si="5"/>
        <v>46762.112668271679</v>
      </c>
      <c r="H68" s="4">
        <f t="shared" si="3"/>
        <v>46762.112668271679</v>
      </c>
    </row>
    <row r="69" spans="2:8" x14ac:dyDescent="0.25">
      <c r="B69" t="str">
        <f>IF(Workings!B69&lt;(Finage+Yrsann),Workings!B69,"")</f>
        <v/>
      </c>
      <c r="G69" s="4"/>
    </row>
    <row r="70" spans="2:8" x14ac:dyDescent="0.25">
      <c r="B70" t="str">
        <f>IF(Workings!B70&lt;(Finage+Yrsann),Workings!B70,"")</f>
        <v/>
      </c>
      <c r="G70" s="4"/>
    </row>
    <row r="71" spans="2:8" x14ac:dyDescent="0.25">
      <c r="B71" t="str">
        <f>IF(Workings!B71&lt;(Finage+Yrsann),Workings!B71,"")</f>
        <v/>
      </c>
      <c r="G71" s="4"/>
    </row>
    <row r="72" spans="2:8" x14ac:dyDescent="0.25">
      <c r="B72" t="str">
        <f>IF(Workings!B72&lt;(Finage+Yrsann),Workings!B72,"")</f>
        <v/>
      </c>
    </row>
    <row r="73" spans="2:8" x14ac:dyDescent="0.25">
      <c r="B73" t="str">
        <f>IF(Workings!B73&lt;(Finage+Yrsann),Workings!B73,"")</f>
        <v/>
      </c>
    </row>
    <row r="74" spans="2:8" x14ac:dyDescent="0.25">
      <c r="B74" t="str">
        <f>IF(Workings!B74&lt;(Finage+Yrsann),Workings!B74,"")</f>
        <v/>
      </c>
    </row>
    <row r="75" spans="2:8" x14ac:dyDescent="0.25">
      <c r="B75" t="str">
        <f>IF(Workings!B75&lt;(Finage+Yrsann),Workings!B75,"")</f>
        <v/>
      </c>
    </row>
    <row r="76" spans="2:8" x14ac:dyDescent="0.25">
      <c r="B76" t="str">
        <f>IF(Workings!B76&lt;(Finage+Yrsann),Workings!B76,"")</f>
        <v/>
      </c>
    </row>
    <row r="77" spans="2:8" x14ac:dyDescent="0.25">
      <c r="B77" t="str">
        <f>IF(Workings!B77&lt;(Finage+Yrsann),Workings!B77,"")</f>
        <v/>
      </c>
    </row>
    <row r="78" spans="2:8" x14ac:dyDescent="0.25">
      <c r="B78" t="str">
        <f>IF(Workings!B78&lt;(Finage+Yrsann),Workings!B78,"")</f>
        <v/>
      </c>
    </row>
    <row r="79" spans="2:8" x14ac:dyDescent="0.25">
      <c r="B79" t="str">
        <f>IF(Workings!B79&lt;(Finage+Yrsann),Workings!B79,"")</f>
        <v/>
      </c>
    </row>
    <row r="80" spans="2:8" x14ac:dyDescent="0.25">
      <c r="B80" t="str">
        <f>IF(Workings!B80&lt;(Finage+Yrsann),Workings!B80,"")</f>
        <v/>
      </c>
    </row>
    <row r="81" spans="2:2" x14ac:dyDescent="0.25">
      <c r="B81" t="str">
        <f>IF(Workings!B81&lt;(Finage+Yrsann),Workings!B81,"")</f>
        <v/>
      </c>
    </row>
    <row r="82" spans="2:2" x14ac:dyDescent="0.25">
      <c r="B82" t="str">
        <f>IF(Workings!B82&lt;(Finage+Yrsann),Workings!B82,"")</f>
        <v/>
      </c>
    </row>
    <row r="83" spans="2:2" x14ac:dyDescent="0.25">
      <c r="B83" t="str">
        <f>IF(Workings!B83&lt;(Finage+Yrsann),Workings!B83,"")</f>
        <v/>
      </c>
    </row>
    <row r="84" spans="2:2" x14ac:dyDescent="0.25">
      <c r="B84" t="str">
        <f>IF(Workings!B84&lt;(Finage+Yrsann),Workings!B84,"")</f>
        <v/>
      </c>
    </row>
    <row r="85" spans="2:2" x14ac:dyDescent="0.25">
      <c r="B85" t="str">
        <f>IF(Workings!B85&lt;(Finage+Yrsann),Workings!B85,"")</f>
        <v/>
      </c>
    </row>
  </sheetData>
  <sheetProtection sheet="1" objects="1" scenarios="1"/>
  <phoneticPr fontId="5"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Front</vt:lpstr>
      <vt:lpstr>Model</vt:lpstr>
      <vt:lpstr>Workings</vt:lpstr>
      <vt:lpstr>Life tables</vt:lpstr>
      <vt:lpstr>Taxtables</vt:lpstr>
      <vt:lpstr>Returns</vt:lpstr>
      <vt:lpstr>Graphdata</vt:lpstr>
      <vt:lpstr>Anny</vt:lpstr>
      <vt:lpstr>Averinc</vt:lpstr>
      <vt:lpstr>Breakage</vt:lpstr>
      <vt:lpstr>Breakfrac</vt:lpstr>
      <vt:lpstr>Breakyrs</vt:lpstr>
      <vt:lpstr>Cocont</vt:lpstr>
      <vt:lpstr>Commage</vt:lpstr>
      <vt:lpstr>Commsal</vt:lpstr>
      <vt:lpstr>Concessional</vt:lpstr>
      <vt:lpstr>Conttax</vt:lpstr>
      <vt:lpstr>Earn</vt:lpstr>
      <vt:lpstr>Earntax</vt:lpstr>
      <vt:lpstr>Finage</vt:lpstr>
      <vt:lpstr>Finnet</vt:lpstr>
      <vt:lpstr>Finsal</vt:lpstr>
      <vt:lpstr>Fixfees</vt:lpstr>
      <vt:lpstr>Liftab</vt:lpstr>
      <vt:lpstr>Litobase</vt:lpstr>
      <vt:lpstr>Litomax</vt:lpstr>
      <vt:lpstr>Litomin</vt:lpstr>
      <vt:lpstr>Litotaper</vt:lpstr>
      <vt:lpstr>Lumpage</vt:lpstr>
      <vt:lpstr>Lumpsum</vt:lpstr>
      <vt:lpstr>Mlevy</vt:lpstr>
      <vt:lpstr>Perfees</vt:lpstr>
      <vt:lpstr>Rudd500</vt:lpstr>
      <vt:lpstr>SGLrate</vt:lpstr>
      <vt:lpstr>SMSF</vt:lpstr>
      <vt:lpstr>SMSFfees</vt:lpstr>
      <vt:lpstr>SMSFthres</vt:lpstr>
      <vt:lpstr>Taxtable</vt:lpstr>
      <vt:lpstr>Workmatrix</vt:lpstr>
      <vt:lpstr>Yrsann</vt:lpstr>
    </vt:vector>
  </TitlesOfParts>
  <Company>Ian McAuley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Submission DR153 - Attachment: Supermodel - Ian McAuley - Superannuation: Assessing Efficiency and Competitiveness - Public inquiry</dc:title>
  <dc:creator>Ian McAuley</dc:creator>
  <cp:lastModifiedBy>Productivity Commission</cp:lastModifiedBy>
  <cp:lastPrinted>2010-05-06T00:42:04Z</cp:lastPrinted>
  <dcterms:created xsi:type="dcterms:W3CDTF">2010-05-04T21:04:25Z</dcterms:created>
  <dcterms:modified xsi:type="dcterms:W3CDTF">2018-07-17T04:56:23Z</dcterms:modified>
</cp:coreProperties>
</file>