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5" yWindow="-15" windowWidth="28830" windowHeight="6405"/>
  </bookViews>
  <sheets>
    <sheet name="Cover sheet" sheetId="21" r:id="rId1"/>
    <sheet name="Guide" sheetId="22" r:id="rId2"/>
    <sheet name="VIC" sheetId="1" r:id="rId3"/>
    <sheet name="NSW" sheetId="2" r:id="rId4"/>
    <sheet name="QLD" sheetId="3" r:id="rId5"/>
    <sheet name="Utilisation charting" sheetId="1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Print_Area" localSheetId="0">'Cover sheet'!$A$1:$L$28</definedName>
    <definedName name="_xlnm.Print_Area" localSheetId="1">Guide!$A$1:$C$31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L109" i="3" l="1"/>
  <c r="B102" i="3" s="1"/>
  <c r="J109" i="3"/>
  <c r="B103" i="3"/>
  <c r="D93" i="3"/>
  <c r="D92" i="3"/>
  <c r="K115" i="3"/>
  <c r="J109" i="2" l="1"/>
  <c r="L109" i="2" s="1"/>
  <c r="B102" i="2" s="1"/>
  <c r="C61" i="2"/>
  <c r="J109" i="1" l="1"/>
  <c r="L109" i="1" s="1"/>
  <c r="B102" i="1" s="1"/>
  <c r="C73" i="1" l="1"/>
  <c r="D73" i="1"/>
  <c r="U23" i="13" l="1"/>
  <c r="A23" i="13" s="1"/>
  <c r="C104" i="1"/>
  <c r="O114" i="13" l="1"/>
  <c r="H94" i="13"/>
  <c r="D104" i="1"/>
  <c r="I6" i="2"/>
  <c r="J6" i="2"/>
  <c r="K6" i="2"/>
  <c r="L6" i="2"/>
  <c r="M6" i="2"/>
  <c r="N6" i="2"/>
  <c r="I7" i="2"/>
  <c r="I77" i="2" s="1"/>
  <c r="I31" i="2"/>
  <c r="D92" i="2" s="1"/>
  <c r="J7" i="2"/>
  <c r="K7" i="2"/>
  <c r="L7" i="2"/>
  <c r="M7" i="2"/>
  <c r="N7" i="2"/>
  <c r="I8" i="2"/>
  <c r="J8" i="2"/>
  <c r="K8" i="2"/>
  <c r="L8" i="2"/>
  <c r="M8" i="2"/>
  <c r="N8" i="2"/>
  <c r="N78" i="2" s="1"/>
  <c r="I9" i="2"/>
  <c r="I33" i="2"/>
  <c r="D93" i="2" s="1"/>
  <c r="J9" i="2"/>
  <c r="K9" i="2"/>
  <c r="L9" i="2"/>
  <c r="M9" i="2"/>
  <c r="N9" i="2"/>
  <c r="I10" i="2"/>
  <c r="J10" i="2"/>
  <c r="K10" i="2"/>
  <c r="L10" i="2"/>
  <c r="M10" i="2"/>
  <c r="N10" i="2"/>
  <c r="I52" i="2"/>
  <c r="J52" i="2"/>
  <c r="K52" i="2"/>
  <c r="L52" i="2"/>
  <c r="M52" i="2"/>
  <c r="N52" i="2"/>
  <c r="I51" i="2"/>
  <c r="J51" i="2"/>
  <c r="K51" i="2"/>
  <c r="L51" i="2"/>
  <c r="M51" i="2"/>
  <c r="N51" i="2"/>
  <c r="I11" i="2"/>
  <c r="J11" i="2"/>
  <c r="K11" i="2"/>
  <c r="L11" i="2"/>
  <c r="M11" i="2"/>
  <c r="N11" i="2"/>
  <c r="I53" i="2"/>
  <c r="J53" i="2"/>
  <c r="K53" i="2"/>
  <c r="L53" i="2"/>
  <c r="M53" i="2"/>
  <c r="N53" i="2"/>
  <c r="I54" i="2"/>
  <c r="J54" i="2"/>
  <c r="K54" i="2"/>
  <c r="L54" i="2"/>
  <c r="M54" i="2"/>
  <c r="N54" i="2"/>
  <c r="I13" i="2"/>
  <c r="J13" i="2"/>
  <c r="K13" i="2"/>
  <c r="L13" i="2"/>
  <c r="M13" i="2"/>
  <c r="N13" i="2"/>
  <c r="I55" i="2"/>
  <c r="J55" i="2"/>
  <c r="K55" i="2"/>
  <c r="L55" i="2"/>
  <c r="M55" i="2"/>
  <c r="N55" i="2"/>
  <c r="I14" i="2"/>
  <c r="J14" i="2"/>
  <c r="K14" i="2"/>
  <c r="L14" i="2"/>
  <c r="M14" i="2"/>
  <c r="N14" i="2"/>
  <c r="I56" i="2"/>
  <c r="J56" i="2"/>
  <c r="K56" i="2"/>
  <c r="L56" i="2"/>
  <c r="M56" i="2"/>
  <c r="N56" i="2"/>
  <c r="I57" i="2"/>
  <c r="J57" i="2"/>
  <c r="K57" i="2"/>
  <c r="L57" i="2"/>
  <c r="M57" i="2"/>
  <c r="N57" i="2"/>
  <c r="J16" i="2"/>
  <c r="K16" i="2"/>
  <c r="L16" i="2"/>
  <c r="M16" i="2"/>
  <c r="N16" i="2"/>
  <c r="I58" i="2"/>
  <c r="J58" i="2"/>
  <c r="K58" i="2"/>
  <c r="L58" i="2"/>
  <c r="M58" i="2"/>
  <c r="N58"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30" i="2"/>
  <c r="J30" i="2"/>
  <c r="K30" i="2"/>
  <c r="L30" i="2"/>
  <c r="M30" i="2"/>
  <c r="N30" i="2"/>
  <c r="J31" i="2"/>
  <c r="K31" i="2"/>
  <c r="L31" i="2"/>
  <c r="M31" i="2"/>
  <c r="N31" i="2"/>
  <c r="I32" i="2"/>
  <c r="J32" i="2"/>
  <c r="K32" i="2"/>
  <c r="L32" i="2"/>
  <c r="M32" i="2"/>
  <c r="N32"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N51" i="1"/>
  <c r="M51" i="1"/>
  <c r="L51" i="1"/>
  <c r="K51" i="1"/>
  <c r="J51" i="1"/>
  <c r="I51" i="1"/>
  <c r="N33" i="1"/>
  <c r="M33" i="1"/>
  <c r="L33" i="1"/>
  <c r="K33" i="1"/>
  <c r="J33" i="1"/>
  <c r="I33" i="1"/>
  <c r="J33" i="3"/>
  <c r="K33" i="3"/>
  <c r="L33" i="3"/>
  <c r="M33" i="3"/>
  <c r="N33" i="3"/>
  <c r="J51" i="3"/>
  <c r="K51" i="3"/>
  <c r="L51" i="3"/>
  <c r="M51" i="3"/>
  <c r="N51" i="3"/>
  <c r="I51" i="3"/>
  <c r="I33" i="3"/>
  <c r="I74" i="2"/>
  <c r="J74" i="2"/>
  <c r="M74" i="2"/>
  <c r="N74" i="2"/>
  <c r="I7" i="3"/>
  <c r="I62" i="3" s="1"/>
  <c r="J7" i="3"/>
  <c r="M7" i="3"/>
  <c r="N7" i="3"/>
  <c r="N62" i="3" s="1"/>
  <c r="I9" i="1"/>
  <c r="I74" i="1"/>
  <c r="J9" i="1"/>
  <c r="J74" i="1"/>
  <c r="M9" i="1"/>
  <c r="M74" i="1"/>
  <c r="N9" i="1"/>
  <c r="N74" i="1"/>
  <c r="I9" i="3"/>
  <c r="I63" i="3" s="1"/>
  <c r="J9" i="3"/>
  <c r="J63" i="3" s="1"/>
  <c r="M9" i="3"/>
  <c r="N9" i="3"/>
  <c r="N63" i="3" s="1"/>
  <c r="M7" i="1"/>
  <c r="N7" i="1"/>
  <c r="I7" i="1"/>
  <c r="J7" i="1"/>
  <c r="K74" i="2"/>
  <c r="L74" i="2"/>
  <c r="K9" i="3"/>
  <c r="K63" i="3" s="1"/>
  <c r="L9" i="3"/>
  <c r="L63" i="3" s="1"/>
  <c r="K9" i="1"/>
  <c r="K74" i="1"/>
  <c r="L9" i="1"/>
  <c r="L74" i="1"/>
  <c r="K7" i="3"/>
  <c r="L7" i="3"/>
  <c r="K7" i="1"/>
  <c r="L7" i="1"/>
  <c r="B101" i="3"/>
  <c r="C89" i="3"/>
  <c r="C73" i="2"/>
  <c r="C74" i="2" s="1"/>
  <c r="C89" i="1"/>
  <c r="C74" i="1"/>
  <c r="I31" i="3"/>
  <c r="I31" i="1"/>
  <c r="D92" i="1" s="1"/>
  <c r="J6" i="3"/>
  <c r="J61" i="3" s="1"/>
  <c r="K6" i="3"/>
  <c r="K61" i="3" s="1"/>
  <c r="L6" i="3"/>
  <c r="L61" i="3" s="1"/>
  <c r="M6" i="3"/>
  <c r="N6" i="3"/>
  <c r="N61" i="3" s="1"/>
  <c r="I6" i="3"/>
  <c r="C61" i="3"/>
  <c r="C104" i="2"/>
  <c r="C65" i="2" s="1"/>
  <c r="I6" i="1"/>
  <c r="J6" i="1"/>
  <c r="K6" i="1"/>
  <c r="K76" i="1" s="1"/>
  <c r="K61" i="1" s="1"/>
  <c r="K65" i="1" s="1"/>
  <c r="L6" i="1"/>
  <c r="M6" i="1"/>
  <c r="N6" i="1"/>
  <c r="C61" i="1"/>
  <c r="C65" i="1" s="1"/>
  <c r="I85" i="1"/>
  <c r="J85" i="1"/>
  <c r="K85" i="1"/>
  <c r="L85" i="1"/>
  <c r="M85" i="1"/>
  <c r="N85" i="1"/>
  <c r="I58" i="3"/>
  <c r="J58" i="3"/>
  <c r="K58" i="3"/>
  <c r="L58" i="3"/>
  <c r="M58" i="3"/>
  <c r="N58" i="3"/>
  <c r="I57" i="3"/>
  <c r="J57" i="3"/>
  <c r="K57" i="3"/>
  <c r="L57" i="3"/>
  <c r="M57" i="3"/>
  <c r="N57" i="3"/>
  <c r="I56" i="3"/>
  <c r="J56" i="3"/>
  <c r="K56" i="3"/>
  <c r="L56" i="3"/>
  <c r="M56" i="3"/>
  <c r="N56" i="3"/>
  <c r="I55" i="3"/>
  <c r="J55" i="3"/>
  <c r="K55" i="3"/>
  <c r="L55" i="3"/>
  <c r="M55" i="3"/>
  <c r="N55" i="3"/>
  <c r="I54" i="3"/>
  <c r="J54" i="3"/>
  <c r="K54" i="3"/>
  <c r="L54" i="3"/>
  <c r="M54" i="3"/>
  <c r="N54" i="3"/>
  <c r="I53" i="3"/>
  <c r="J53" i="3"/>
  <c r="K53" i="3"/>
  <c r="L53" i="3"/>
  <c r="M53" i="3"/>
  <c r="N53" i="3"/>
  <c r="I52" i="3"/>
  <c r="J52" i="3"/>
  <c r="K52" i="3"/>
  <c r="L52" i="3"/>
  <c r="M52" i="3"/>
  <c r="N52" i="3"/>
  <c r="I15" i="3"/>
  <c r="J15" i="3"/>
  <c r="K15" i="3"/>
  <c r="L15" i="3"/>
  <c r="M15" i="3"/>
  <c r="N15" i="3"/>
  <c r="I14" i="3"/>
  <c r="J14" i="3"/>
  <c r="K14" i="3"/>
  <c r="L14" i="3"/>
  <c r="M14" i="3"/>
  <c r="N14" i="3"/>
  <c r="I12" i="3"/>
  <c r="J12" i="3"/>
  <c r="K12" i="3"/>
  <c r="L12" i="3"/>
  <c r="M12" i="3"/>
  <c r="N12" i="3"/>
  <c r="I11" i="3"/>
  <c r="J11" i="3"/>
  <c r="K11" i="3"/>
  <c r="L11" i="3"/>
  <c r="M11" i="3"/>
  <c r="N11" i="3"/>
  <c r="N53" i="1"/>
  <c r="I53" i="1"/>
  <c r="J53" i="1"/>
  <c r="K53" i="1"/>
  <c r="L53" i="1"/>
  <c r="M53" i="1"/>
  <c r="N54" i="1"/>
  <c r="I54" i="1"/>
  <c r="J54" i="1"/>
  <c r="K54" i="1"/>
  <c r="L54" i="1"/>
  <c r="M54" i="1"/>
  <c r="N55" i="1"/>
  <c r="I55" i="1"/>
  <c r="J55" i="1"/>
  <c r="K55" i="1"/>
  <c r="L55" i="1"/>
  <c r="M55" i="1"/>
  <c r="N56" i="1"/>
  <c r="I56" i="1"/>
  <c r="J56" i="1"/>
  <c r="K56" i="1"/>
  <c r="L56" i="1"/>
  <c r="M56" i="1"/>
  <c r="N57" i="1"/>
  <c r="I57" i="1"/>
  <c r="J57" i="1"/>
  <c r="K57" i="1"/>
  <c r="L57" i="1"/>
  <c r="M57" i="1"/>
  <c r="N58" i="1"/>
  <c r="I58" i="1"/>
  <c r="J58" i="1"/>
  <c r="K58" i="1"/>
  <c r="L58" i="1"/>
  <c r="M58" i="1"/>
  <c r="N52" i="1"/>
  <c r="I52" i="1"/>
  <c r="J52" i="1"/>
  <c r="K52" i="1"/>
  <c r="L52" i="1"/>
  <c r="M52" i="1"/>
  <c r="N13" i="1"/>
  <c r="I13" i="1"/>
  <c r="J13" i="1"/>
  <c r="K13" i="1"/>
  <c r="L13" i="1"/>
  <c r="M13" i="1"/>
  <c r="N16" i="1"/>
  <c r="I16" i="1"/>
  <c r="J16" i="1"/>
  <c r="K16" i="1"/>
  <c r="L16" i="1"/>
  <c r="M16" i="1"/>
  <c r="N10" i="1"/>
  <c r="I10" i="1"/>
  <c r="J10" i="1"/>
  <c r="K10" i="1"/>
  <c r="L10" i="1"/>
  <c r="M10" i="1"/>
  <c r="N11" i="1"/>
  <c r="I11" i="1"/>
  <c r="J11" i="1"/>
  <c r="K11" i="1"/>
  <c r="L11" i="1"/>
  <c r="M11" i="1"/>
  <c r="N32" i="1"/>
  <c r="N30" i="1"/>
  <c r="M32" i="1"/>
  <c r="M30" i="1"/>
  <c r="L32" i="1"/>
  <c r="L30" i="1"/>
  <c r="K32" i="1"/>
  <c r="K30" i="1"/>
  <c r="J32" i="1"/>
  <c r="J30" i="1"/>
  <c r="I32" i="1"/>
  <c r="I30" i="1"/>
  <c r="N32" i="3"/>
  <c r="N30" i="3"/>
  <c r="M32" i="3"/>
  <c r="M30" i="3"/>
  <c r="L32" i="3"/>
  <c r="L30" i="3"/>
  <c r="K32" i="3"/>
  <c r="K30" i="3"/>
  <c r="J32" i="3"/>
  <c r="J30" i="3"/>
  <c r="I32" i="3"/>
  <c r="I30" i="3"/>
  <c r="I8" i="3"/>
  <c r="J8" i="3"/>
  <c r="K8" i="3"/>
  <c r="L8" i="3"/>
  <c r="M8" i="3"/>
  <c r="N8" i="3"/>
  <c r="N74" i="3"/>
  <c r="M74" i="3"/>
  <c r="L74" i="3"/>
  <c r="K74" i="3"/>
  <c r="J74" i="3"/>
  <c r="I74" i="3"/>
  <c r="I77" i="3" s="1"/>
  <c r="C74" i="3"/>
  <c r="N8" i="1"/>
  <c r="M8" i="1"/>
  <c r="L8" i="1"/>
  <c r="K8" i="1"/>
  <c r="J8" i="1"/>
  <c r="I8" i="1"/>
  <c r="H74" i="2"/>
  <c r="G74" i="2"/>
  <c r="F74" i="2"/>
  <c r="E74" i="2"/>
  <c r="D73" i="2"/>
  <c r="D74" i="2" s="1"/>
  <c r="H74" i="3"/>
  <c r="F74" i="3"/>
  <c r="E74" i="3"/>
  <c r="D74" i="3"/>
  <c r="I21" i="3"/>
  <c r="I19" i="3"/>
  <c r="G74" i="3"/>
  <c r="I42" i="1"/>
  <c r="I21" i="1"/>
  <c r="I19" i="1"/>
  <c r="D74" i="1"/>
  <c r="E74" i="1"/>
  <c r="F74" i="1"/>
  <c r="G74" i="1"/>
  <c r="H74" i="1"/>
  <c r="I42" i="3"/>
  <c r="J42" i="3"/>
  <c r="K42" i="3"/>
  <c r="L42" i="3"/>
  <c r="M42" i="3"/>
  <c r="N42" i="3"/>
  <c r="J42" i="1"/>
  <c r="K42" i="1"/>
  <c r="L42" i="1"/>
  <c r="M42" i="1"/>
  <c r="N42" i="1"/>
  <c r="J21" i="3"/>
  <c r="K21" i="3"/>
  <c r="L21" i="3"/>
  <c r="M21" i="3"/>
  <c r="N21" i="3"/>
  <c r="J21" i="1"/>
  <c r="K21" i="1"/>
  <c r="L21" i="1"/>
  <c r="M21" i="1"/>
  <c r="N21" i="1"/>
  <c r="I20" i="3"/>
  <c r="J20" i="3"/>
  <c r="K20" i="3"/>
  <c r="L20" i="3"/>
  <c r="M20" i="3"/>
  <c r="N20" i="3"/>
  <c r="I20" i="1"/>
  <c r="J20" i="1"/>
  <c r="K20" i="1"/>
  <c r="L20" i="1"/>
  <c r="M20" i="1"/>
  <c r="N20" i="1"/>
  <c r="J31" i="3"/>
  <c r="K31" i="3"/>
  <c r="L31" i="3"/>
  <c r="M31" i="3"/>
  <c r="N31" i="3"/>
  <c r="J31" i="1"/>
  <c r="K31" i="1"/>
  <c r="L31" i="1"/>
  <c r="M31" i="1"/>
  <c r="N31" i="1"/>
  <c r="J19" i="3"/>
  <c r="K19" i="3"/>
  <c r="L19" i="3"/>
  <c r="M19" i="3"/>
  <c r="N19" i="3"/>
  <c r="J19" i="1"/>
  <c r="K19" i="1"/>
  <c r="L19" i="1"/>
  <c r="M19" i="1"/>
  <c r="N19" i="1"/>
  <c r="I18" i="3"/>
  <c r="J18" i="3"/>
  <c r="K18" i="3"/>
  <c r="L18" i="3"/>
  <c r="M18" i="3"/>
  <c r="N18" i="3"/>
  <c r="I18" i="1"/>
  <c r="J18" i="1"/>
  <c r="K18" i="1"/>
  <c r="L18" i="1"/>
  <c r="M18" i="1"/>
  <c r="N18" i="1"/>
  <c r="N49" i="3"/>
  <c r="M49" i="3"/>
  <c r="L49" i="3"/>
  <c r="K49" i="3"/>
  <c r="J49" i="3"/>
  <c r="I49" i="3"/>
  <c r="N48" i="3"/>
  <c r="M48" i="3"/>
  <c r="L48" i="3"/>
  <c r="K48" i="3"/>
  <c r="J48" i="3"/>
  <c r="I48" i="3"/>
  <c r="N47" i="3"/>
  <c r="M47" i="3"/>
  <c r="L47" i="3"/>
  <c r="K47" i="3"/>
  <c r="J47" i="3"/>
  <c r="I47" i="3"/>
  <c r="N46" i="3"/>
  <c r="M46" i="3"/>
  <c r="L46" i="3"/>
  <c r="K46" i="3"/>
  <c r="J46" i="3"/>
  <c r="I46" i="3"/>
  <c r="N45" i="3"/>
  <c r="M45" i="3"/>
  <c r="L45" i="3"/>
  <c r="K45" i="3"/>
  <c r="J45" i="3"/>
  <c r="I45" i="3"/>
  <c r="N44" i="3"/>
  <c r="M44" i="3"/>
  <c r="L44" i="3"/>
  <c r="K44" i="3"/>
  <c r="J44" i="3"/>
  <c r="I44" i="3"/>
  <c r="N43" i="3"/>
  <c r="M43" i="3"/>
  <c r="L43" i="3"/>
  <c r="K43" i="3"/>
  <c r="J43" i="3"/>
  <c r="I43" i="3"/>
  <c r="N40" i="3"/>
  <c r="M40" i="3"/>
  <c r="L40" i="3"/>
  <c r="K40" i="3"/>
  <c r="J40" i="3"/>
  <c r="I40" i="3"/>
  <c r="N39" i="3"/>
  <c r="M39" i="3"/>
  <c r="L39" i="3"/>
  <c r="K39" i="3"/>
  <c r="J39" i="3"/>
  <c r="I39" i="3"/>
  <c r="N38" i="3"/>
  <c r="M38" i="3"/>
  <c r="L38" i="3"/>
  <c r="K38" i="3"/>
  <c r="J38" i="3"/>
  <c r="I38" i="3"/>
  <c r="N37" i="3"/>
  <c r="M37" i="3"/>
  <c r="L37" i="3"/>
  <c r="K37" i="3"/>
  <c r="J37" i="3"/>
  <c r="I37" i="3"/>
  <c r="N36" i="3"/>
  <c r="M36" i="3"/>
  <c r="L36" i="3"/>
  <c r="K36" i="3"/>
  <c r="J36" i="3"/>
  <c r="I36" i="3"/>
  <c r="N35" i="3"/>
  <c r="M35" i="3"/>
  <c r="L35" i="3"/>
  <c r="K35" i="3"/>
  <c r="J35" i="3"/>
  <c r="I35" i="3"/>
  <c r="N34" i="3"/>
  <c r="M34" i="3"/>
  <c r="L34" i="3"/>
  <c r="K34" i="3"/>
  <c r="J34" i="3"/>
  <c r="I34" i="3"/>
  <c r="N28" i="3"/>
  <c r="M28" i="3"/>
  <c r="L28" i="3"/>
  <c r="K28" i="3"/>
  <c r="J28" i="3"/>
  <c r="I28" i="3"/>
  <c r="N27" i="3"/>
  <c r="M27" i="3"/>
  <c r="L27" i="3"/>
  <c r="K27" i="3"/>
  <c r="J27" i="3"/>
  <c r="I27" i="3"/>
  <c r="N26" i="3"/>
  <c r="M26" i="3"/>
  <c r="L26" i="3"/>
  <c r="K26" i="3"/>
  <c r="J26" i="3"/>
  <c r="I26" i="3"/>
  <c r="N25" i="3"/>
  <c r="M25" i="3"/>
  <c r="L25" i="3"/>
  <c r="K25" i="3"/>
  <c r="J25" i="3"/>
  <c r="I25" i="3"/>
  <c r="N24" i="3"/>
  <c r="M24" i="3"/>
  <c r="L24" i="3"/>
  <c r="K24" i="3"/>
  <c r="J24" i="3"/>
  <c r="I24" i="3"/>
  <c r="N23" i="3"/>
  <c r="M23" i="3"/>
  <c r="L23" i="3"/>
  <c r="K23" i="3"/>
  <c r="J23" i="3"/>
  <c r="I23" i="3"/>
  <c r="N22" i="3"/>
  <c r="M22" i="3"/>
  <c r="L22" i="3"/>
  <c r="K22" i="3"/>
  <c r="J22" i="3"/>
  <c r="I22" i="3"/>
  <c r="I35" i="1"/>
  <c r="I44" i="1"/>
  <c r="J35" i="1"/>
  <c r="J44" i="1"/>
  <c r="K35" i="1"/>
  <c r="K44" i="1"/>
  <c r="L35" i="1"/>
  <c r="L44" i="1"/>
  <c r="M35" i="1"/>
  <c r="M44" i="1"/>
  <c r="N35" i="1"/>
  <c r="N44" i="1"/>
  <c r="I36" i="1"/>
  <c r="I45" i="1"/>
  <c r="J36" i="1"/>
  <c r="J45" i="1"/>
  <c r="K36" i="1"/>
  <c r="K45" i="1"/>
  <c r="L36" i="1"/>
  <c r="L45" i="1"/>
  <c r="M36" i="1"/>
  <c r="M45" i="1"/>
  <c r="N36" i="1"/>
  <c r="N45" i="1"/>
  <c r="I37" i="1"/>
  <c r="I46" i="1"/>
  <c r="J37" i="1"/>
  <c r="J46" i="1"/>
  <c r="K37" i="1"/>
  <c r="K46" i="1"/>
  <c r="L37" i="1"/>
  <c r="L46" i="1"/>
  <c r="M37" i="1"/>
  <c r="M46" i="1"/>
  <c r="N37" i="1"/>
  <c r="N46" i="1"/>
  <c r="I38" i="1"/>
  <c r="I47" i="1"/>
  <c r="J38" i="1"/>
  <c r="J47" i="1"/>
  <c r="K38" i="1"/>
  <c r="K47" i="1"/>
  <c r="L38" i="1"/>
  <c r="L47" i="1"/>
  <c r="M38" i="1"/>
  <c r="M47" i="1"/>
  <c r="N38" i="1"/>
  <c r="N47" i="1"/>
  <c r="I39" i="1"/>
  <c r="I48" i="1"/>
  <c r="J39" i="1"/>
  <c r="J48" i="1"/>
  <c r="K39" i="1"/>
  <c r="K48" i="1"/>
  <c r="L39" i="1"/>
  <c r="L48" i="1"/>
  <c r="M39" i="1"/>
  <c r="M48" i="1"/>
  <c r="N39" i="1"/>
  <c r="N48" i="1"/>
  <c r="I40" i="1"/>
  <c r="I49" i="1"/>
  <c r="J40" i="1"/>
  <c r="J49" i="1"/>
  <c r="K40" i="1"/>
  <c r="K49" i="1"/>
  <c r="L40" i="1"/>
  <c r="L49" i="1"/>
  <c r="M40" i="1"/>
  <c r="M49" i="1"/>
  <c r="N40" i="1"/>
  <c r="N49" i="1"/>
  <c r="J34" i="1"/>
  <c r="J43" i="1"/>
  <c r="K34" i="1"/>
  <c r="K43" i="1"/>
  <c r="L34" i="1"/>
  <c r="L43" i="1"/>
  <c r="M34" i="1"/>
  <c r="M43" i="1"/>
  <c r="N34" i="1"/>
  <c r="N43" i="1"/>
  <c r="I34" i="1"/>
  <c r="I43" i="1"/>
  <c r="N28" i="1"/>
  <c r="M28" i="1"/>
  <c r="L28" i="1"/>
  <c r="K28" i="1"/>
  <c r="J28" i="1"/>
  <c r="I28" i="1"/>
  <c r="N27" i="1"/>
  <c r="M27" i="1"/>
  <c r="L27" i="1"/>
  <c r="K27" i="1"/>
  <c r="J27" i="1"/>
  <c r="I27" i="1"/>
  <c r="N26" i="1"/>
  <c r="M26" i="1"/>
  <c r="L26" i="1"/>
  <c r="K26" i="1"/>
  <c r="J26" i="1"/>
  <c r="I26" i="1"/>
  <c r="N25" i="1"/>
  <c r="M25" i="1"/>
  <c r="L25" i="1"/>
  <c r="K25" i="1"/>
  <c r="J25" i="1"/>
  <c r="I25" i="1"/>
  <c r="N24" i="1"/>
  <c r="M24" i="1"/>
  <c r="L24" i="1"/>
  <c r="K24" i="1"/>
  <c r="J24" i="1"/>
  <c r="I24" i="1"/>
  <c r="N23" i="1"/>
  <c r="M23" i="1"/>
  <c r="L23" i="1"/>
  <c r="K23" i="1"/>
  <c r="J23" i="1"/>
  <c r="I23" i="1"/>
  <c r="N22" i="1"/>
  <c r="M22" i="1"/>
  <c r="L22" i="1"/>
  <c r="K22" i="1"/>
  <c r="J22" i="1"/>
  <c r="I22" i="1"/>
  <c r="K62" i="3" l="1"/>
  <c r="M62" i="3"/>
  <c r="J79" i="3"/>
  <c r="M61" i="3"/>
  <c r="O57" i="3"/>
  <c r="O51" i="3"/>
  <c r="N79" i="3"/>
  <c r="N77" i="3"/>
  <c r="J79" i="2"/>
  <c r="J63" i="2" s="1"/>
  <c r="O56" i="3"/>
  <c r="J62" i="3"/>
  <c r="K77" i="2"/>
  <c r="K62" i="2" s="1"/>
  <c r="K66" i="2" s="1"/>
  <c r="M76" i="3"/>
  <c r="O11" i="2"/>
  <c r="L79" i="2"/>
  <c r="L63" i="2" s="1"/>
  <c r="N79" i="2"/>
  <c r="N63" i="2" s="1"/>
  <c r="J77" i="2"/>
  <c r="J62" i="2" s="1"/>
  <c r="J66" i="2" s="1"/>
  <c r="L78" i="2"/>
  <c r="L77" i="2"/>
  <c r="L62" i="2" s="1"/>
  <c r="L66" i="2" s="1"/>
  <c r="O13" i="2"/>
  <c r="D104" i="2"/>
  <c r="K76" i="2"/>
  <c r="K61" i="2" s="1"/>
  <c r="K65" i="2" s="1"/>
  <c r="K79" i="2"/>
  <c r="K63" i="2" s="1"/>
  <c r="N76" i="2"/>
  <c r="N61" i="2" s="1"/>
  <c r="N65" i="2" s="1"/>
  <c r="O58" i="2"/>
  <c r="O57" i="2"/>
  <c r="O53" i="2"/>
  <c r="K78" i="2"/>
  <c r="O54" i="2"/>
  <c r="M76" i="2"/>
  <c r="M61" i="2" s="1"/>
  <c r="M65" i="2" s="1"/>
  <c r="I78" i="2"/>
  <c r="O55" i="2"/>
  <c r="I62" i="2"/>
  <c r="I66" i="2" s="1"/>
  <c r="O10" i="2"/>
  <c r="O14" i="2"/>
  <c r="O56" i="2"/>
  <c r="O51" i="2"/>
  <c r="O52" i="2"/>
  <c r="D104" i="3"/>
  <c r="K67" i="3" s="1"/>
  <c r="N76" i="1"/>
  <c r="N61" i="1" s="1"/>
  <c r="N65" i="1" s="1"/>
  <c r="K79" i="1"/>
  <c r="K86" i="1" s="1"/>
  <c r="K63" i="1" s="1"/>
  <c r="K67" i="1" s="1"/>
  <c r="O55" i="1"/>
  <c r="O53" i="1"/>
  <c r="O54" i="1"/>
  <c r="N77" i="1"/>
  <c r="N62" i="1" s="1"/>
  <c r="N66" i="1" s="1"/>
  <c r="O57" i="1"/>
  <c r="O11" i="1"/>
  <c r="O16" i="1"/>
  <c r="O52" i="1"/>
  <c r="M78" i="1"/>
  <c r="O13" i="1"/>
  <c r="D93" i="1"/>
  <c r="C97" i="1" s="1"/>
  <c r="C9" i="1" s="1"/>
  <c r="C79" i="1" s="1"/>
  <c r="C86" i="1" s="1"/>
  <c r="C63" i="1" s="1"/>
  <c r="C67" i="1" s="1"/>
  <c r="O10" i="1"/>
  <c r="O58" i="1"/>
  <c r="O56" i="1"/>
  <c r="M77" i="1"/>
  <c r="M62" i="1" s="1"/>
  <c r="M66" i="1" s="1"/>
  <c r="O51" i="1"/>
  <c r="L76" i="1"/>
  <c r="L61" i="1" s="1"/>
  <c r="L65" i="1" s="1"/>
  <c r="O52" i="3"/>
  <c r="J77" i="3"/>
  <c r="O11" i="3"/>
  <c r="O14" i="3"/>
  <c r="O58" i="3"/>
  <c r="O12" i="3"/>
  <c r="O55" i="3"/>
  <c r="J77" i="1"/>
  <c r="J62" i="1" s="1"/>
  <c r="J66" i="1" s="1"/>
  <c r="N77" i="2"/>
  <c r="N62" i="2" s="1"/>
  <c r="N66" i="2" s="1"/>
  <c r="O15" i="3"/>
  <c r="K77" i="1"/>
  <c r="K62" i="1" s="1"/>
  <c r="K66" i="1" s="1"/>
  <c r="M78" i="2"/>
  <c r="O54" i="3"/>
  <c r="O53" i="3"/>
  <c r="I77" i="1"/>
  <c r="I62" i="1" s="1"/>
  <c r="I66" i="1" s="1"/>
  <c r="C89" i="2"/>
  <c r="C97" i="2" s="1"/>
  <c r="C9" i="2" s="1"/>
  <c r="C79" i="2" s="1"/>
  <c r="C63" i="2" s="1"/>
  <c r="I76" i="3"/>
  <c r="M77" i="3"/>
  <c r="I78" i="3"/>
  <c r="J76" i="3"/>
  <c r="J78" i="3"/>
  <c r="M79" i="3"/>
  <c r="N78" i="3"/>
  <c r="J78" i="2"/>
  <c r="I76" i="2"/>
  <c r="I61" i="2" s="1"/>
  <c r="I65" i="2" s="1"/>
  <c r="M77" i="2"/>
  <c r="M62" i="2" s="1"/>
  <c r="M66" i="2" s="1"/>
  <c r="J76" i="2"/>
  <c r="J61" i="2" s="1"/>
  <c r="J65" i="2" s="1"/>
  <c r="I79" i="2"/>
  <c r="I63" i="2" s="1"/>
  <c r="M79" i="2"/>
  <c r="M63" i="2" s="1"/>
  <c r="L76" i="2"/>
  <c r="L61" i="2" s="1"/>
  <c r="L65" i="2" s="1"/>
  <c r="J79" i="1"/>
  <c r="J86" i="1" s="1"/>
  <c r="J63" i="1" s="1"/>
  <c r="J67" i="1" s="1"/>
  <c r="N78" i="1"/>
  <c r="I79" i="1"/>
  <c r="M79" i="1"/>
  <c r="M86" i="1" s="1"/>
  <c r="M63" i="1" s="1"/>
  <c r="M67" i="1" s="1"/>
  <c r="I78" i="1"/>
  <c r="N79" i="1"/>
  <c r="N86" i="1" s="1"/>
  <c r="N63" i="1" s="1"/>
  <c r="N67" i="1" s="1"/>
  <c r="J78" i="1"/>
  <c r="M76" i="1"/>
  <c r="M61" i="1" s="1"/>
  <c r="M65" i="1" s="1"/>
  <c r="J76" i="1"/>
  <c r="J61" i="1" s="1"/>
  <c r="J65" i="1" s="1"/>
  <c r="C96" i="1"/>
  <c r="C7" i="1" s="1"/>
  <c r="C77" i="1" s="1"/>
  <c r="C62" i="1" s="1"/>
  <c r="C66" i="1" s="1"/>
  <c r="L77" i="1"/>
  <c r="L62" i="1" s="1"/>
  <c r="L66" i="1" s="1"/>
  <c r="K78" i="1"/>
  <c r="L79" i="1"/>
  <c r="L86" i="1" s="1"/>
  <c r="L63" i="1" s="1"/>
  <c r="L67" i="1" s="1"/>
  <c r="L78" i="1"/>
  <c r="I76" i="1"/>
  <c r="I61" i="1" s="1"/>
  <c r="I65" i="1" s="1"/>
  <c r="H55" i="13"/>
  <c r="K77" i="3"/>
  <c r="K78" i="3"/>
  <c r="K76" i="3"/>
  <c r="L79" i="3"/>
  <c r="L78" i="3"/>
  <c r="L76" i="3"/>
  <c r="C104" i="3"/>
  <c r="C96" i="3"/>
  <c r="C7" i="3" s="1"/>
  <c r="K79" i="3"/>
  <c r="N76" i="3"/>
  <c r="M78" i="3"/>
  <c r="I61" i="3"/>
  <c r="L62" i="3"/>
  <c r="M63" i="3"/>
  <c r="I79" i="3"/>
  <c r="C97" i="3"/>
  <c r="C9" i="3" s="1"/>
  <c r="L77" i="3"/>
  <c r="P16" i="3" l="1"/>
  <c r="M67" i="3"/>
  <c r="M65" i="3"/>
  <c r="P13" i="3"/>
  <c r="P15" i="3"/>
  <c r="P10" i="3"/>
  <c r="N67" i="3"/>
  <c r="P14" i="3"/>
  <c r="I67" i="3"/>
  <c r="P11" i="3"/>
  <c r="P12" i="3"/>
  <c r="L67" i="3"/>
  <c r="J67" i="3"/>
  <c r="J67" i="2"/>
  <c r="K67" i="2"/>
  <c r="C67" i="2"/>
  <c r="N67" i="2"/>
  <c r="I67" i="2"/>
  <c r="L67" i="2"/>
  <c r="M67" i="2"/>
  <c r="P16" i="2"/>
  <c r="C96" i="2"/>
  <c r="C7" i="2" s="1"/>
  <c r="C77" i="2" s="1"/>
  <c r="C62" i="2" s="1"/>
  <c r="C66" i="2" s="1"/>
  <c r="P10" i="2"/>
  <c r="P15" i="2"/>
  <c r="P14" i="2"/>
  <c r="P11" i="2"/>
  <c r="P13" i="2"/>
  <c r="P12" i="2"/>
  <c r="I65" i="3"/>
  <c r="L65" i="3"/>
  <c r="N65" i="3"/>
  <c r="K66" i="3"/>
  <c r="J65" i="3"/>
  <c r="I86" i="1"/>
  <c r="I63" i="1" s="1"/>
  <c r="I67" i="1" s="1"/>
  <c r="P11" i="1"/>
  <c r="P12" i="1"/>
  <c r="P10" i="1"/>
  <c r="P15" i="1"/>
  <c r="P13" i="1"/>
  <c r="P14" i="1"/>
  <c r="P16" i="1"/>
  <c r="C63" i="3"/>
  <c r="C79" i="3"/>
  <c r="C77" i="3"/>
  <c r="C62" i="3"/>
  <c r="I66" i="3"/>
  <c r="N66" i="3"/>
  <c r="M66" i="3"/>
  <c r="C65" i="3"/>
  <c r="L66" i="3"/>
  <c r="K65" i="3"/>
  <c r="J66" i="3"/>
  <c r="C67" i="3" l="1"/>
  <c r="C66" i="3"/>
  <c r="I115" i="2" l="1"/>
  <c r="H115" i="1"/>
  <c r="G115" i="1"/>
  <c r="H115" i="2"/>
  <c r="D117" i="2"/>
  <c r="L115" i="2"/>
  <c r="J115" i="1"/>
  <c r="L115" i="1"/>
  <c r="L115" i="3"/>
  <c r="J115" i="3"/>
  <c r="G115" i="3"/>
  <c r="I115" i="3"/>
  <c r="H115" i="3"/>
  <c r="D117" i="3"/>
  <c r="D117" i="1"/>
  <c r="K115" i="1"/>
  <c r="G115" i="2"/>
  <c r="I115" i="1"/>
  <c r="K115" i="2"/>
  <c r="J115" i="2"/>
  <c r="L10" i="13"/>
  <c r="I14" i="13"/>
  <c r="I6" i="13"/>
  <c r="N9" i="13"/>
  <c r="H13" i="13"/>
  <c r="D11" i="13"/>
  <c r="C6" i="13"/>
  <c r="M29" i="13"/>
  <c r="E19" i="13"/>
  <c r="M26" i="13"/>
  <c r="N18" i="13"/>
  <c r="K7" i="13"/>
  <c r="E7" i="13"/>
  <c r="C14" i="13"/>
  <c r="L19" i="13"/>
  <c r="G11" i="13"/>
  <c r="J15" i="13"/>
  <c r="D18" i="13"/>
  <c r="L31" i="13"/>
  <c r="D14" i="13"/>
  <c r="N6" i="13"/>
  <c r="N11" i="13"/>
  <c r="M5" i="13"/>
  <c r="I26" i="13"/>
  <c r="F14" i="13"/>
  <c r="I13" i="13"/>
  <c r="J14" i="13"/>
  <c r="D13" i="13"/>
  <c r="I25" i="13"/>
  <c r="L20" i="13"/>
  <c r="D15" i="13"/>
  <c r="L5" i="13"/>
  <c r="K20" i="13"/>
  <c r="N30" i="13"/>
  <c r="E9" i="13"/>
  <c r="M27" i="13"/>
  <c r="C19" i="13"/>
  <c r="F6" i="13"/>
  <c r="L14" i="13"/>
  <c r="K6" i="13"/>
  <c r="F7" i="13"/>
  <c r="G10" i="13"/>
  <c r="K10" i="13"/>
  <c r="L9" i="13"/>
  <c r="K31" i="13"/>
  <c r="K18" i="13"/>
  <c r="L6" i="13"/>
  <c r="C31" i="13"/>
  <c r="C18" i="13"/>
  <c r="G14" i="13"/>
  <c r="N19" i="13"/>
  <c r="F10" i="13"/>
  <c r="K27" i="13"/>
  <c r="J7" i="13"/>
  <c r="L18" i="13"/>
  <c r="K30" i="13"/>
  <c r="M25" i="13"/>
  <c r="J20" i="13"/>
  <c r="I18" i="13"/>
  <c r="I5" i="13"/>
  <c r="E11" i="13"/>
  <c r="F5" i="13"/>
  <c r="M30" i="13"/>
  <c r="J10" i="13"/>
  <c r="L25" i="13"/>
  <c r="J30" i="13"/>
  <c r="H10" i="13"/>
  <c r="D20" i="13"/>
  <c r="C7" i="13"/>
  <c r="C5" i="13"/>
  <c r="N27" i="13"/>
  <c r="G9" i="13"/>
  <c r="K26" i="13"/>
  <c r="F15" i="13"/>
  <c r="N13" i="13"/>
  <c r="I31" i="13"/>
  <c r="N20" i="13"/>
  <c r="L15" i="13"/>
  <c r="N25" i="13"/>
  <c r="K19" i="13"/>
  <c r="F18" i="13"/>
  <c r="L29" i="13"/>
  <c r="E20" i="13"/>
  <c r="I10" i="13"/>
  <c r="J11" i="13"/>
  <c r="M9" i="13"/>
  <c r="C26" i="13"/>
  <c r="G15" i="13"/>
  <c r="C30" i="13"/>
  <c r="M31" i="13"/>
  <c r="G5" i="13"/>
  <c r="I7" i="13"/>
  <c r="F20" i="13"/>
  <c r="J27" i="13"/>
  <c r="J9" i="13"/>
  <c r="K29" i="13"/>
  <c r="C10" i="13"/>
  <c r="J31" i="13"/>
  <c r="N29" i="13"/>
  <c r="D10" i="13"/>
  <c r="K11" i="13"/>
  <c r="C15" i="13"/>
  <c r="N14" i="13"/>
  <c r="L11" i="13"/>
  <c r="E13" i="13"/>
  <c r="M6" i="13"/>
  <c r="M14" i="13"/>
  <c r="H14" i="13"/>
  <c r="H6" i="13"/>
  <c r="I9" i="13"/>
  <c r="I11" i="13"/>
  <c r="G18" i="13"/>
  <c r="I27" i="13"/>
  <c r="H7" i="13"/>
  <c r="J29" i="13"/>
  <c r="K9" i="13"/>
  <c r="I20" i="13"/>
  <c r="F19" i="13"/>
  <c r="G20" i="13"/>
  <c r="I15" i="13"/>
  <c r="M11" i="13"/>
  <c r="L27" i="13"/>
  <c r="G13" i="13"/>
  <c r="J18" i="13"/>
  <c r="E15" i="13"/>
  <c r="K14" i="13"/>
  <c r="N5" i="13"/>
  <c r="M19" i="13"/>
  <c r="N7" i="13"/>
  <c r="G6" i="13"/>
  <c r="H5" i="13"/>
  <c r="I29" i="13"/>
  <c r="F9" i="13"/>
  <c r="C20" i="13"/>
  <c r="I30" i="13"/>
  <c r="J13" i="13"/>
  <c r="M20" i="13"/>
  <c r="J19" i="13"/>
  <c r="H20" i="13"/>
  <c r="M10" i="13"/>
  <c r="K13" i="13"/>
  <c r="C11" i="13"/>
  <c r="J25" i="13"/>
  <c r="E6" i="13"/>
  <c r="D7" i="13"/>
  <c r="C25" i="13"/>
  <c r="M13" i="13"/>
  <c r="F13" i="13"/>
  <c r="E18" i="13"/>
  <c r="D6" i="13"/>
  <c r="J5" i="13"/>
  <c r="F11" i="13"/>
  <c r="D5" i="13"/>
  <c r="N10" i="13"/>
  <c r="C13" i="13"/>
  <c r="K5" i="13"/>
  <c r="L13" i="13"/>
  <c r="D9" i="13"/>
  <c r="D19" i="13"/>
  <c r="C29" i="13"/>
  <c r="C9" i="13"/>
  <c r="K15" i="13"/>
  <c r="H9" i="13"/>
  <c r="N31" i="13"/>
  <c r="M7" i="13"/>
  <c r="E14" i="13"/>
  <c r="E10" i="13"/>
  <c r="E5" i="13"/>
  <c r="N15" i="13"/>
  <c r="G7" i="13"/>
  <c r="C27" i="13"/>
  <c r="I19" i="13"/>
  <c r="L7" i="13"/>
  <c r="L26" i="13"/>
  <c r="K25" i="13"/>
  <c r="N26" i="13"/>
  <c r="M18" i="13"/>
  <c r="H18" i="13"/>
  <c r="H19" i="13"/>
  <c r="H11" i="13"/>
  <c r="J26" i="13"/>
  <c r="H15" i="13"/>
  <c r="G19" i="13"/>
  <c r="J6" i="13"/>
  <c r="L30" i="13"/>
  <c r="O31" i="13"/>
  <c r="M15" i="13"/>
  <c r="O29" i="13"/>
  <c r="O25" i="13"/>
  <c r="O27" i="13"/>
  <c r="O26" i="13"/>
  <c r="O30" i="13"/>
  <c r="R30" i="13" l="1"/>
  <c r="R29" i="13"/>
  <c r="S29" i="13"/>
  <c r="R27" i="13"/>
  <c r="S27" i="13"/>
  <c r="T31" i="13"/>
  <c r="R31" i="13"/>
  <c r="S31" i="13"/>
  <c r="T30" i="13"/>
  <c r="T25" i="13"/>
  <c r="T27" i="13"/>
  <c r="S25" i="13"/>
  <c r="R25" i="13"/>
  <c r="S26" i="13"/>
  <c r="R26" i="13"/>
  <c r="T26" i="13"/>
  <c r="T29" i="13"/>
  <c r="S30" i="13"/>
  <c r="P26" i="13"/>
  <c r="Q26" i="13" s="1"/>
  <c r="P27" i="13"/>
  <c r="Q27" i="13" s="1"/>
  <c r="P30" i="13"/>
  <c r="Q30" i="13" s="1"/>
  <c r="P31" i="13"/>
  <c r="Q31" i="13" s="1"/>
  <c r="P29" i="13"/>
  <c r="Q29" i="13" s="1"/>
  <c r="P25" i="13"/>
  <c r="Q25" i="13" s="1"/>
</calcChain>
</file>

<file path=xl/comments1.xml><?xml version="1.0" encoding="utf-8"?>
<comments xmlns="http://schemas.openxmlformats.org/spreadsheetml/2006/main">
  <authors>
    <author>Brian</author>
    <author>Brian Nuttall</author>
  </authors>
  <commentList>
    <comment ref="C4" authorId="0">
      <text>
        <r>
          <rPr>
            <b/>
            <sz val="9"/>
            <color indexed="81"/>
            <rFont val="Tahoma"/>
            <family val="2"/>
          </rPr>
          <t>The external set of spreadsheets contain the OPDMS data files and calcuations that are described in S5.1 of the report</t>
        </r>
      </text>
    </comment>
    <comment ref="C7" authorId="0">
      <text>
        <r>
          <rPr>
            <b/>
            <sz val="9"/>
            <color indexed="81"/>
            <rFont val="Tahoma"/>
            <family val="2"/>
          </rPr>
          <t>Estimate for 2000 is calculated below</t>
        </r>
      </text>
    </comment>
    <comment ref="C9" authorId="0">
      <text>
        <r>
          <rPr>
            <b/>
            <sz val="9"/>
            <color indexed="81"/>
            <rFont val="Tahoma"/>
            <family val="2"/>
          </rPr>
          <t>Estimate for 2000 is calculated below</t>
        </r>
        <r>
          <rPr>
            <sz val="9"/>
            <color indexed="81"/>
            <rFont val="Tahoma"/>
            <family val="2"/>
          </rPr>
          <t xml:space="preserve">
</t>
        </r>
      </text>
    </comment>
    <comment ref="C59" authorId="0">
      <text>
        <r>
          <rPr>
            <b/>
            <sz val="9"/>
            <color indexed="81"/>
            <rFont val="Tahoma"/>
            <family val="2"/>
          </rPr>
          <t>The external set of spreadsheets contain the OPDMS data files and calcuations that are described in S5.1 of the report</t>
        </r>
      </text>
    </comment>
    <comment ref="A72" authorId="0">
      <text>
        <r>
          <rPr>
            <b/>
            <sz val="9"/>
            <color indexed="81"/>
            <rFont val="Tahoma"/>
            <charset val="1"/>
          </rPr>
          <t>2002 SOO, 2006 and 2011 APR</t>
        </r>
      </text>
    </comment>
    <comment ref="A73" authorId="0">
      <text>
        <r>
          <rPr>
            <b/>
            <sz val="9"/>
            <color indexed="81"/>
            <rFont val="Tahoma"/>
            <charset val="1"/>
          </rPr>
          <t>2006 and 2011 APR</t>
        </r>
      </text>
    </comment>
    <comment ref="C73" authorId="1">
      <text>
        <r>
          <rPr>
            <sz val="9"/>
            <color indexed="81"/>
            <rFont val="Calibri"/>
            <family val="2"/>
          </rPr>
          <t xml:space="preserve">No weather corrected data  - so use actual
</t>
        </r>
      </text>
    </comment>
    <comment ref="A84" authorId="0">
      <text>
        <r>
          <rPr>
            <b/>
            <sz val="9"/>
            <color indexed="81"/>
            <rFont val="Tahoma"/>
            <family val="2"/>
          </rPr>
          <t xml:space="preserve">detailed calculations not included in this workbook  </t>
        </r>
      </text>
    </comment>
    <comment ref="C92" authorId="0">
      <text>
        <r>
          <rPr>
            <b/>
            <sz val="9"/>
            <color indexed="81"/>
            <rFont val="Tahoma"/>
            <family val="2"/>
          </rPr>
          <t>Cranbourne - 1000MVA</t>
        </r>
      </text>
    </comment>
    <comment ref="C93" authorId="0">
      <text>
        <r>
          <rPr>
            <b/>
            <sz val="9"/>
            <color indexed="81"/>
            <rFont val="Tahoma"/>
            <family val="2"/>
          </rPr>
          <t>Latrobe Valley - 2000 MVA</t>
        </r>
      </text>
    </comment>
    <comment ref="J108" authorId="0">
      <text>
        <r>
          <rPr>
            <b/>
            <sz val="9"/>
            <color indexed="81"/>
            <rFont val="Tahoma"/>
            <family val="2"/>
          </rPr>
          <t>Estimated as data not available</t>
        </r>
      </text>
    </comment>
    <comment ref="B113" authorId="0">
      <text>
        <r>
          <rPr>
            <b/>
            <sz val="9"/>
            <color indexed="81"/>
            <rFont val="Tahoma"/>
            <family val="2"/>
          </rPr>
          <t xml:space="preserve">From AEMO data
</t>
        </r>
      </text>
    </comment>
    <comment ref="B114" authorId="0">
      <text>
        <r>
          <rPr>
            <b/>
            <sz val="9"/>
            <color indexed="81"/>
            <rFont val="Tahoma"/>
            <family val="2"/>
          </rPr>
          <t>From AER 2009/10 TNSP performance report</t>
        </r>
      </text>
    </comment>
  </commentList>
</comments>
</file>

<file path=xl/comments2.xml><?xml version="1.0" encoding="utf-8"?>
<comments xmlns="http://schemas.openxmlformats.org/spreadsheetml/2006/main">
  <authors>
    <author>Brian</author>
    <author>Brian Nuttall</author>
  </authors>
  <commentList>
    <comment ref="C4" authorId="0">
      <text>
        <r>
          <rPr>
            <b/>
            <sz val="9"/>
            <color indexed="81"/>
            <rFont val="Tahoma"/>
            <family val="2"/>
          </rPr>
          <t>The external set of spreadsheets contain the OPDMS data files and calcuations that are described in S5.1 of the report</t>
        </r>
      </text>
    </comment>
    <comment ref="C7" authorId="0">
      <text>
        <r>
          <rPr>
            <b/>
            <sz val="9"/>
            <color indexed="81"/>
            <rFont val="Tahoma"/>
            <family val="2"/>
          </rPr>
          <t>Estimate for 2000 is calculated below</t>
        </r>
      </text>
    </comment>
    <comment ref="C9" authorId="0">
      <text>
        <r>
          <rPr>
            <b/>
            <sz val="9"/>
            <color indexed="81"/>
            <rFont val="Tahoma"/>
            <family val="2"/>
          </rPr>
          <t>Estimate for 2000 is calculated below</t>
        </r>
      </text>
    </comment>
    <comment ref="C59" authorId="0">
      <text>
        <r>
          <rPr>
            <b/>
            <sz val="9"/>
            <color indexed="81"/>
            <rFont val="Tahoma"/>
            <family val="2"/>
          </rPr>
          <t>The external set of spreadsheets contain the OPDMS data files and calcuations that are described in S5.1 of the report</t>
        </r>
      </text>
    </comment>
    <comment ref="A72" authorId="0">
      <text>
        <r>
          <rPr>
            <b/>
            <sz val="9"/>
            <color indexed="81"/>
            <rFont val="Tahoma"/>
            <charset val="1"/>
          </rPr>
          <t>2007 and 2011 APR</t>
        </r>
      </text>
    </comment>
    <comment ref="A73" authorId="0">
      <text>
        <r>
          <rPr>
            <b/>
            <sz val="9"/>
            <color indexed="81"/>
            <rFont val="Tahoma"/>
            <charset val="1"/>
          </rPr>
          <t>2011 APR</t>
        </r>
      </text>
    </comment>
    <comment ref="C73" authorId="1">
      <text>
        <r>
          <rPr>
            <sz val="9"/>
            <color indexed="81"/>
            <rFont val="Calibri"/>
            <family val="2"/>
          </rPr>
          <t xml:space="preserve">No weather corrected data  - so use actual
</t>
        </r>
      </text>
    </comment>
    <comment ref="B92" authorId="0">
      <text>
        <r>
          <rPr>
            <b/>
            <sz val="9"/>
            <color indexed="81"/>
            <rFont val="Tahoma"/>
            <family val="2"/>
          </rPr>
          <t>Waratah West - 375 MVA
Tuggerah - 375 MVA
Balranald - 50 MVA
Canberra - 400 MVA
Regentville - 375 MVA
Tamworth - 200 MVA
Vinyard - 375 MVA</t>
        </r>
      </text>
    </comment>
    <comment ref="B93" authorId="0">
      <text>
        <r>
          <rPr>
            <b/>
            <sz val="9"/>
            <color indexed="81"/>
            <rFont val="Tahoma"/>
            <family val="2"/>
          </rPr>
          <t>330 kV cable to Haymarket - 750 MVA
Coff Harbour – Kempsey 132 kV line - 153, 122 MVA
Armidale-Kempsey 132 kV line - 30 MVA
Armidale-Koolkhan 132 kV line - 30 MVA
Molong-Malindra 132 kV line - 100 MVA</t>
        </r>
      </text>
    </comment>
    <comment ref="J108" authorId="0">
      <text>
        <r>
          <rPr>
            <b/>
            <sz val="9"/>
            <color indexed="81"/>
            <rFont val="Tahoma"/>
            <family val="2"/>
          </rPr>
          <t>Estimated as data not available</t>
        </r>
      </text>
    </comment>
    <comment ref="B113" authorId="0">
      <text>
        <r>
          <rPr>
            <b/>
            <sz val="9"/>
            <color indexed="81"/>
            <rFont val="Tahoma"/>
            <family val="2"/>
          </rPr>
          <t xml:space="preserve">From AEMO data
</t>
        </r>
      </text>
    </comment>
    <comment ref="B114" authorId="0">
      <text>
        <r>
          <rPr>
            <b/>
            <sz val="9"/>
            <color indexed="81"/>
            <rFont val="Tahoma"/>
            <family val="2"/>
          </rPr>
          <t>From AER 2009/10 TNSP performance report (includes TransGrid and Ausgrid transmission lines)</t>
        </r>
      </text>
    </comment>
  </commentList>
</comments>
</file>

<file path=xl/comments3.xml><?xml version="1.0" encoding="utf-8"?>
<comments xmlns="http://schemas.openxmlformats.org/spreadsheetml/2006/main">
  <authors>
    <author>Brian</author>
    <author>Brian Nuttall</author>
  </authors>
  <commentList>
    <comment ref="C4" authorId="0">
      <text>
        <r>
          <rPr>
            <b/>
            <sz val="9"/>
            <color indexed="81"/>
            <rFont val="Tahoma"/>
            <family val="2"/>
          </rPr>
          <t>The external set of spreadsheets contain the OPDMS data files and calcuations that are described in S5.1 of the report</t>
        </r>
      </text>
    </comment>
    <comment ref="C7" authorId="0">
      <text>
        <r>
          <rPr>
            <b/>
            <sz val="9"/>
            <color indexed="81"/>
            <rFont val="Tahoma"/>
            <family val="2"/>
          </rPr>
          <t>Estimate for 2000 is calculated below</t>
        </r>
      </text>
    </comment>
    <comment ref="C9" authorId="0">
      <text>
        <r>
          <rPr>
            <b/>
            <sz val="9"/>
            <color indexed="81"/>
            <rFont val="Tahoma"/>
            <family val="2"/>
          </rPr>
          <t>Estimate for 2000 is calculated below</t>
        </r>
      </text>
    </comment>
    <comment ref="C59" authorId="0">
      <text>
        <r>
          <rPr>
            <b/>
            <sz val="9"/>
            <color indexed="81"/>
            <rFont val="Tahoma"/>
            <family val="2"/>
          </rPr>
          <t>The external set of spreadsheets contain the OPDMS data files and calcuations that are described in S5.1 of the report</t>
        </r>
      </text>
    </comment>
    <comment ref="A72" authorId="0">
      <text>
        <r>
          <rPr>
            <b/>
            <sz val="9"/>
            <color indexed="81"/>
            <rFont val="Tahoma"/>
            <charset val="1"/>
          </rPr>
          <t>2006 and 2011 APR</t>
        </r>
      </text>
    </comment>
    <comment ref="N72" authorId="1">
      <text>
        <r>
          <rPr>
            <sz val="9"/>
            <color indexed="81"/>
            <rFont val="Calibri"/>
            <family val="2"/>
          </rPr>
          <t xml:space="preserve">Using correction for flood and cyclone as discussed in APR
</t>
        </r>
      </text>
    </comment>
    <comment ref="A73" authorId="0">
      <text>
        <r>
          <rPr>
            <b/>
            <sz val="9"/>
            <color indexed="81"/>
            <rFont val="Tahoma"/>
            <charset val="1"/>
          </rPr>
          <t>2006 and 2011 APR</t>
        </r>
      </text>
    </comment>
    <comment ref="C92" authorId="0">
      <text>
        <r>
          <rPr>
            <b/>
            <sz val="9"/>
            <color indexed="81"/>
            <rFont val="Tahoma"/>
            <family val="2"/>
          </rPr>
          <t>Middle Ridge - 250 MVA
Woree - 410 MVA
Loganlea - 2 x 440 MVA
Molendinar - 300 MVA
Strathmore - 410 MVA
Edmonton - 300 MVA
Nebo - 275 MVA
Rocklea - 440 MVA
Loganlea, Woolooga, Palmwoods, Swanbank - 440, 275, 412, 275 MVA</t>
        </r>
      </text>
    </comment>
    <comment ref="C93" authorId="0">
      <text>
        <r>
          <rPr>
            <b/>
            <sz val="9"/>
            <color indexed="81"/>
            <rFont val="Tahoma"/>
            <family val="2"/>
          </rPr>
          <t>Belmont 275 kV - 2 x 655 MVA
Millmerran – Middle Ridge 275 kV - 2 x 1246 MVA
Chalumbin-Springmount 275 kV - 2 x 460 MVA
Stanwell-Broadsound 275 kV - 880 + 663 MVA
Broadsound-Lilyvale 275 kV - 550 MVA
Maudsland-Molendinar 275 kV - 500 MVA</t>
        </r>
      </text>
    </comment>
    <comment ref="F101" authorId="0">
      <text>
        <r>
          <rPr>
            <b/>
            <sz val="9"/>
            <color indexed="81"/>
            <rFont val="Tahoma"/>
            <charset val="1"/>
          </rPr>
          <t>Note: this adjustment has been calcuated on separate worksheets, based upon a set of OPDMS data files.</t>
        </r>
      </text>
    </comment>
    <comment ref="J108" authorId="0">
      <text>
        <r>
          <rPr>
            <b/>
            <sz val="9"/>
            <color indexed="81"/>
            <rFont val="Tahoma"/>
            <family val="2"/>
          </rPr>
          <t>Estimated as data not available</t>
        </r>
      </text>
    </comment>
    <comment ref="B113" authorId="0">
      <text>
        <r>
          <rPr>
            <b/>
            <sz val="9"/>
            <color indexed="81"/>
            <rFont val="Tahoma"/>
            <family val="2"/>
          </rPr>
          <t xml:space="preserve">From AEMO data
</t>
        </r>
      </text>
    </comment>
    <comment ref="B114" authorId="0">
      <text>
        <r>
          <rPr>
            <b/>
            <sz val="9"/>
            <color indexed="81"/>
            <rFont val="Tahoma"/>
            <family val="2"/>
          </rPr>
          <t>From AER 2009/10 TNSP performance report</t>
        </r>
      </text>
    </comment>
  </commentList>
</comments>
</file>

<file path=xl/comments4.xml><?xml version="1.0" encoding="utf-8"?>
<comments xmlns="http://schemas.openxmlformats.org/spreadsheetml/2006/main">
  <authors>
    <author>Brian</author>
  </authors>
  <commentList>
    <comment ref="U2" authorId="0">
      <text>
        <r>
          <rPr>
            <b/>
            <sz val="9"/>
            <color indexed="81"/>
            <rFont val="Tahoma"/>
            <family val="2"/>
          </rPr>
          <t>This shaded area includes pointers and switches to determine what data should be charted</t>
        </r>
      </text>
    </comment>
    <comment ref="U22" authorId="0">
      <text>
        <r>
          <rPr>
            <b/>
            <sz val="9"/>
            <color indexed="81"/>
            <rFont val="Tahoma"/>
            <charset val="1"/>
          </rPr>
          <t>Pointer to cell reference in regional data sheets.  Required to reference the density measure.</t>
        </r>
      </text>
    </comment>
    <comment ref="U23" authorId="0">
      <text>
        <r>
          <rPr>
            <b/>
            <sz val="9"/>
            <color indexed="81"/>
            <rFont val="Tahoma"/>
            <family val="2"/>
          </rPr>
          <t>linked to input in S98 below
Switch for including Section 6 corrections or only those in Section 5</t>
        </r>
      </text>
    </comment>
    <comment ref="H55" authorId="0">
      <text>
        <r>
          <rPr>
            <b/>
            <sz val="9"/>
            <color indexed="81"/>
            <rFont val="Tahoma"/>
            <family val="2"/>
          </rPr>
          <t>Use S98 to change plot to include Section 6 corrections</t>
        </r>
      </text>
    </comment>
    <comment ref="H94" authorId="0">
      <text>
        <r>
          <rPr>
            <b/>
            <sz val="9"/>
            <color indexed="81"/>
            <rFont val="Tahoma"/>
            <family val="2"/>
          </rPr>
          <t>Use S98 to change plot to include Section 6 corrections</t>
        </r>
      </text>
    </comment>
    <comment ref="O114" authorId="0">
      <text>
        <r>
          <rPr>
            <b/>
            <sz val="9"/>
            <color indexed="81"/>
            <rFont val="Tahoma"/>
            <family val="2"/>
          </rPr>
          <t>Use S98 to change plot to include Section 6 corrections</t>
        </r>
      </text>
    </comment>
  </commentList>
</comments>
</file>

<file path=xl/sharedStrings.xml><?xml version="1.0" encoding="utf-8"?>
<sst xmlns="http://schemas.openxmlformats.org/spreadsheetml/2006/main" count="421" uniqueCount="153">
  <si>
    <t>Transformer</t>
  </si>
  <si>
    <t>all</t>
  </si>
  <si>
    <t>Lines</t>
  </si>
  <si>
    <t>VIC</t>
  </si>
  <si>
    <t>NSW</t>
  </si>
  <si>
    <t>QLD</t>
  </si>
  <si>
    <t>Transformers</t>
  </si>
  <si>
    <t>average</t>
  </si>
  <si>
    <t>MVA</t>
  </si>
  <si>
    <t>MW MD</t>
  </si>
  <si>
    <t>2009/10</t>
  </si>
  <si>
    <t>lines</t>
  </si>
  <si>
    <t>Annual trend in utilisation</t>
  </si>
  <si>
    <t>Average utilisation vs density metric</t>
  </si>
  <si>
    <t>(MW)</t>
  </si>
  <si>
    <t>tie</t>
  </si>
  <si>
    <t>terminal station</t>
  </si>
  <si>
    <t>Line</t>
  </si>
  <si>
    <t>TS</t>
  </si>
  <si>
    <t>Transformer - all</t>
  </si>
  <si>
    <t>2005/06</t>
  </si>
  <si>
    <t>2010/11</t>
  </si>
  <si>
    <t>Actual demand</t>
  </si>
  <si>
    <t>Weather corrected</t>
  </si>
  <si>
    <t>2006/07</t>
  </si>
  <si>
    <t>2007/08</t>
  </si>
  <si>
    <t>2008/09</t>
  </si>
  <si>
    <t>% adjust to weather correct</t>
  </si>
  <si>
    <t>2000 MD as % of 2006</t>
  </si>
  <si>
    <t>capacity added 2000-2005</t>
  </si>
  <si>
    <t>change to summer peaking</t>
  </si>
  <si>
    <t>winter peaking to 2008 (inc)</t>
  </si>
  <si>
    <t>Adjustment</t>
  </si>
  <si>
    <t>yes</t>
  </si>
  <si>
    <t>diversity</t>
  </si>
  <si>
    <t>peakiness</t>
  </si>
  <si>
    <t>line ratings</t>
  </si>
  <si>
    <t>tx</t>
  </si>
  <si>
    <t>line</t>
  </si>
  <si>
    <t>5.1.2 - Fig 2 - WA actual - all transformers</t>
  </si>
  <si>
    <t>5.1.2 - Fig 3 - WA actual - tie and TS transformers</t>
  </si>
  <si>
    <t>Lines - all</t>
  </si>
  <si>
    <t>5.1.3 - Fig 4 - WA actual - all lines</t>
  </si>
  <si>
    <t>5.2.2 - Fig 5 - WA actual vs corrected - tie transformers</t>
  </si>
  <si>
    <t>5.2.2 - Fig 6 - WA actual vs corrected - lines</t>
  </si>
  <si>
    <t>5.3.2/6.1.4 - Fig 7/Fig 9 - tie transformers (2000 estimate)</t>
  </si>
  <si>
    <t>5.3.3/6.1.4 - Fig 8/Fig 10 - lines (2000 estimate)</t>
  </si>
  <si>
    <t>Charts</t>
  </si>
  <si>
    <t>6.1.4 - Fig 11 - lines average utilisation vs density</t>
  </si>
  <si>
    <t>(estimated % reduction from SOO demand duration curves)</t>
  </si>
  <si>
    <t>Utilisation summary data for report charting</t>
  </si>
  <si>
    <t>5.1.3 Table 4 data</t>
  </si>
  <si>
    <t>5.2.1.2 Table 6</t>
  </si>
  <si>
    <t>Temperature</t>
  </si>
  <si>
    <t>S6.1.1 QLD adjustments for load diversity</t>
  </si>
  <si>
    <t>S6 - corrections summary</t>
  </si>
  <si>
    <t>increase in capacity to put on same basis as VIC and NSW</t>
  </si>
  <si>
    <t>issue</t>
  </si>
  <si>
    <t>correction</t>
  </si>
  <si>
    <t>Total correction</t>
  </si>
  <si>
    <t>Do not include S6 corrections in charts (yes/no)?</t>
  </si>
  <si>
    <t>row pointer 2</t>
  </si>
  <si>
    <t>row pointer 1</t>
  </si>
  <si>
    <t>Density (MW/km)</t>
  </si>
  <si>
    <t>Equivalent to Fig 11 - tie transformers</t>
  </si>
  <si>
    <t>(2006-2011)</t>
  </si>
  <si>
    <t>(2006-2007)</t>
  </si>
  <si>
    <t>(2010-2011)</t>
  </si>
  <si>
    <t>average utilisation</t>
  </si>
  <si>
    <t>S6 - utilisation vs density analysis</t>
  </si>
  <si>
    <t>S5 pointer</t>
  </si>
  <si>
    <t>S5+S6 pointer</t>
  </si>
  <si>
    <t>Actual utilisation metric</t>
  </si>
  <si>
    <t>Corrected utilisation metric (S5 and S6 corrections)</t>
  </si>
  <si>
    <t>Charting data (linked to regional data sheets)</t>
  </si>
  <si>
    <t>(Use to toggle between including Section 6 corrections or only those in Section 5)</t>
  </si>
  <si>
    <t>Utilisation metric</t>
  </si>
  <si>
    <t>Loading (MVA) (sum of the MVA loading of each network element included in the utilisation metric)</t>
  </si>
  <si>
    <t>Actual data - linked to external set of utilisation spreadsheets (see discussion in S5.1)</t>
  </si>
  <si>
    <t>Category</t>
  </si>
  <si>
    <t>Year</t>
  </si>
  <si>
    <t>Capacity (MVA) (sum of the MVA rating (Rating A) of each network element included in the utilisation metric)</t>
  </si>
  <si>
    <t>Length (km) (sum of the length (actual or estimate) of each line element included in the utilisation metric)</t>
  </si>
  <si>
    <t>MVA.length (MVA.km) (sum of the Capacity x Length of each line element included in the utilisation metric)</t>
  </si>
  <si>
    <t>Correctioned utilisation metrics (see discussion in sections 5.2, 5.2 and 6.1)</t>
  </si>
  <si>
    <t>Corrected utilisation metric (S5.2 and S5.3)</t>
  </si>
  <si>
    <t>Corrected utilisation metric (S6.1)</t>
  </si>
  <si>
    <t>proportion</t>
  </si>
  <si>
    <t>S5.2.1.1 - correction to account for weather on asset loading</t>
  </si>
  <si>
    <t>utilisation metric (weather corrected MD)</t>
  </si>
  <si>
    <t>(degrees C)</t>
  </si>
  <si>
    <t>adjustments to line rating</t>
  </si>
  <si>
    <t>correct line utilisation metric (includes MD weather correction)</t>
  </si>
  <si>
    <t>S5.2.1.2 - Conversion to static ratings for comparison to NSW and QLD (assumes equivalent static rating would be 45C design temp for VIC)</t>
  </si>
  <si>
    <t>(5.2.1.1 Table 5)</t>
  </si>
  <si>
    <t>S5.3 - 2000 estimate of utilisation metric</t>
  </si>
  <si>
    <t>tie transformers</t>
  </si>
  <si>
    <t>% change from 2006 capacity</t>
  </si>
  <si>
    <t>2000 utilisation metric (based on actuals)</t>
  </si>
  <si>
    <t>Correction to utilisation</t>
  </si>
  <si>
    <t>(5.3.1 Table 7)</t>
  </si>
  <si>
    <t>km transmission line</t>
  </si>
  <si>
    <t>Density calculation (S6.2)</t>
  </si>
  <si>
    <t>Regional data sheet</t>
  </si>
  <si>
    <t>% reduction from maximum demand to demand only exceeded 1% of time</t>
  </si>
  <si>
    <t>density (MW/km)</t>
  </si>
  <si>
    <t>(used for charting)</t>
  </si>
  <si>
    <t>SOO year</t>
  </si>
  <si>
    <t>year</t>
  </si>
  <si>
    <t>Density 5-year average (2004/05 - 2008/09) (MW/km)</t>
  </si>
  <si>
    <t>Component</t>
  </si>
  <si>
    <t>peakiness correction (S6.1.2)</t>
  </si>
  <si>
    <t>S5.2.1.2 - Conversion to static ratings  - not relevant to NSW calcuations</t>
  </si>
  <si>
    <t>tie transformer</t>
  </si>
  <si>
    <t>d117</t>
  </si>
  <si>
    <t>utilisation metric (weather corrected MD) - not used as anomaly in weather corrected data</t>
  </si>
  <si>
    <t>(for QLD using actual as weather correction to 50% PoE appears anomalous)</t>
  </si>
  <si>
    <t>S6.1.3 - Possible adjustment to allow for existing conservative static rating</t>
  </si>
  <si>
    <t xml:space="preserve"> (noting that it appears that a boost of 40% at peak demand could be achieved)</t>
  </si>
  <si>
    <t>Victoria over-capacity review</t>
  </si>
  <si>
    <t>Is over-capacity the reason for low augmentation levels in Victoria?</t>
  </si>
  <si>
    <t>Nuttall Consulting does not take responsibility in any way whatsoever to any person or organisation other than the AEMO in respect of information set out in this document, including any errors or omissions therein, arising through negligence or otherwise.</t>
  </si>
  <si>
    <t>Overview:</t>
  </si>
  <si>
    <t>Structure of workbook</t>
  </si>
  <si>
    <t>Regional data sheets</t>
  </si>
  <si>
    <t xml:space="preserve">These three sheets contain the data and calculations specific to each of the three regions in the study.  The sheets contain references to the relevant report sections where data, assumptions and calculations are discussed. </t>
  </si>
  <si>
    <r>
      <t>The utilisation metric is defined to reflect the average</t>
    </r>
    <r>
      <rPr>
        <b/>
        <sz val="12"/>
        <color theme="1"/>
        <rFont val="Calibri"/>
        <family val="2"/>
        <scheme val="minor"/>
      </rPr>
      <t xml:space="preserve"> utilisation</t>
    </r>
    <r>
      <rPr>
        <sz val="12"/>
        <color theme="1"/>
        <rFont val="Calibri"/>
        <family val="2"/>
        <scheme val="minor"/>
      </rPr>
      <t xml:space="preserve"> across a population of assets in each region.  The utilisation (as defined in the report) of any individual asset is taken to be its</t>
    </r>
    <r>
      <rPr>
        <b/>
        <sz val="12"/>
        <color theme="1"/>
        <rFont val="Calibri"/>
        <family val="2"/>
        <scheme val="minor"/>
      </rPr>
      <t xml:space="preserve"> loading at the time of regional peak demand</t>
    </r>
    <r>
      <rPr>
        <sz val="12"/>
        <color theme="1"/>
        <rFont val="Calibri"/>
        <family val="2"/>
        <scheme val="minor"/>
      </rPr>
      <t xml:space="preserve"> as a percentage of its </t>
    </r>
    <r>
      <rPr>
        <b/>
        <sz val="12"/>
        <color theme="1"/>
        <rFont val="Calibri"/>
        <family val="2"/>
        <scheme val="minor"/>
      </rPr>
      <t>continuous thermal rating</t>
    </r>
    <r>
      <rPr>
        <sz val="12"/>
        <color theme="1"/>
        <rFont val="Calibri"/>
        <family val="2"/>
        <scheme val="minor"/>
      </rPr>
      <t xml:space="preserve"> at that time.  </t>
    </r>
  </si>
  <si>
    <t>Two metrics are used to reflect the two main network planning components: transformers and lines .  A weighted average across the population of components is used to account for the scale of the individual components in each category.  For each transformer, its rating is used as the weighting.  For each line, its rating multiplied by its length is used.</t>
  </si>
  <si>
    <t>The utilisation metrics for these two components are also broken down into the following categories:</t>
  </si>
  <si>
    <t xml:space="preserve"> - Transformers: tie transformers and terminal stations (or connection points)</t>
  </si>
  <si>
    <r>
      <t>This workbook supports the analysis and charting provided in the Nuttall Consulting report "</t>
    </r>
    <r>
      <rPr>
        <i/>
        <sz val="12"/>
        <color theme="1"/>
        <rFont val="Calibri"/>
        <family val="2"/>
        <scheme val="minor"/>
      </rPr>
      <t>Victoria over-capacity review: Is over-capacity the reason for low augmentation levels in Victoria?</t>
    </r>
    <r>
      <rPr>
        <sz val="12"/>
        <color theme="1"/>
        <rFont val="Calibri"/>
        <family val="2"/>
        <scheme val="minor"/>
      </rPr>
      <t>", dated 27 July 2012.  This report contains details of the data and underlying calculations contained in this workbook.</t>
    </r>
  </si>
  <si>
    <t>(the category "all" signifies all elements in the overall transformer or line component)</t>
  </si>
  <si>
    <t xml:space="preserve"> - Lines: by nominal voltage (500 kV, 330 kV, 275 kV, 220 kV, 132 kV, 110 kV, 66 kV)</t>
  </si>
  <si>
    <t>Each sheet has the same structure, consisting of two main tables:</t>
  </si>
  <si>
    <r>
      <t>The first table, "</t>
    </r>
    <r>
      <rPr>
        <b/>
        <sz val="12"/>
        <color theme="1"/>
        <rFont val="Calibri"/>
        <family val="2"/>
        <scheme val="minor"/>
      </rPr>
      <t>Utilisation summary data for report charting</t>
    </r>
    <r>
      <rPr>
        <sz val="12"/>
        <color theme="1"/>
        <rFont val="Calibri"/>
        <family val="2"/>
        <scheme val="minor"/>
      </rPr>
      <t xml:space="preserve">", contains the utilisations metrics and other supporting data that is used for charting purposes.  The table can be considered in two sections  </t>
    </r>
  </si>
  <si>
    <t>S5.2, S5.3 &amp; S6 - calculations and supporting data</t>
  </si>
  <si>
    <t>Utilisation metric overview</t>
  </si>
  <si>
    <t>Utilisation charting</t>
  </si>
  <si>
    <r>
      <t xml:space="preserve">The second section (from </t>
    </r>
    <r>
      <rPr>
        <i/>
        <sz val="12"/>
        <color theme="1"/>
        <rFont val="Calibri"/>
        <family val="2"/>
        <scheme val="minor"/>
      </rPr>
      <t>row 59 to row 67</t>
    </r>
    <r>
      <rPr>
        <sz val="12"/>
        <color theme="1"/>
        <rFont val="Calibri"/>
        <family val="2"/>
        <scheme val="minor"/>
      </rPr>
      <t>) summarises the corrected utilisation metrics (discussed in Sections 5.2, 5.3 and 6.1 of the report).</t>
    </r>
  </si>
  <si>
    <r>
      <t xml:space="preserve">The workbook contains three </t>
    </r>
    <r>
      <rPr>
        <b/>
        <sz val="12"/>
        <color theme="1"/>
        <rFont val="Calibri"/>
        <family val="2"/>
        <scheme val="minor"/>
      </rPr>
      <t>Regional data sheets</t>
    </r>
    <r>
      <rPr>
        <sz val="12"/>
        <color theme="1"/>
        <rFont val="Calibri"/>
        <family val="2"/>
        <scheme val="minor"/>
      </rPr>
      <t xml:space="preserve">, called </t>
    </r>
    <r>
      <rPr>
        <b/>
        <sz val="12"/>
        <color theme="1"/>
        <rFont val="Calibri"/>
        <family val="2"/>
        <scheme val="minor"/>
      </rPr>
      <t>VIC</t>
    </r>
    <r>
      <rPr>
        <sz val="12"/>
        <color theme="1"/>
        <rFont val="Calibri"/>
        <family val="2"/>
        <scheme val="minor"/>
      </rPr>
      <t xml:space="preserve">, </t>
    </r>
    <r>
      <rPr>
        <b/>
        <sz val="12"/>
        <color theme="1"/>
        <rFont val="Calibri"/>
        <family val="2"/>
        <scheme val="minor"/>
      </rPr>
      <t>NSW</t>
    </r>
    <r>
      <rPr>
        <sz val="12"/>
        <color theme="1"/>
        <rFont val="Calibri"/>
        <family val="2"/>
        <scheme val="minor"/>
      </rPr>
      <t xml:space="preserve">, </t>
    </r>
    <r>
      <rPr>
        <b/>
        <sz val="12"/>
        <color theme="1"/>
        <rFont val="Calibri"/>
        <family val="2"/>
        <scheme val="minor"/>
      </rPr>
      <t>QLD</t>
    </r>
    <r>
      <rPr>
        <sz val="12"/>
        <color theme="1"/>
        <rFont val="Calibri"/>
        <family val="2"/>
        <scheme val="minor"/>
      </rPr>
      <t xml:space="preserve">.  These can be identified by the </t>
    </r>
    <r>
      <rPr>
        <sz val="12"/>
        <color theme="4"/>
        <rFont val="Calibri"/>
        <family val="2"/>
        <scheme val="minor"/>
      </rPr>
      <t>blue</t>
    </r>
    <r>
      <rPr>
        <sz val="12"/>
        <color theme="1"/>
        <rFont val="Calibri"/>
        <family val="2"/>
        <scheme val="minor"/>
      </rPr>
      <t xml:space="preserve"> tab shading.</t>
    </r>
  </si>
  <si>
    <r>
      <t xml:space="preserve">The workbook contains one sheet, called </t>
    </r>
    <r>
      <rPr>
        <b/>
        <sz val="12"/>
        <color theme="1"/>
        <rFont val="Calibri"/>
        <family val="2"/>
        <scheme val="minor"/>
      </rPr>
      <t>Utilisation charting</t>
    </r>
    <r>
      <rPr>
        <sz val="12"/>
        <color theme="1"/>
        <rFont val="Calibri"/>
        <family val="2"/>
        <scheme val="minor"/>
      </rPr>
      <t xml:space="preserve">, that contains the charts that are provided in the report.  This sheet can be identified by the </t>
    </r>
    <r>
      <rPr>
        <sz val="12"/>
        <color theme="5"/>
        <rFont val="Calibri"/>
        <family val="2"/>
        <scheme val="minor"/>
      </rPr>
      <t>red</t>
    </r>
    <r>
      <rPr>
        <sz val="12"/>
        <color theme="1"/>
        <rFont val="Calibri"/>
        <family val="2"/>
        <scheme val="minor"/>
      </rPr>
      <t xml:space="preserve"> tab shading.</t>
    </r>
  </si>
  <si>
    <t>S5.2.1.2 - Conversion to static ratings  - not relevant to QLD calcuations</t>
  </si>
  <si>
    <t>Caution: This workbook is not protected and so any changes could affect the calculations</t>
  </si>
  <si>
    <r>
      <t xml:space="preserve">The first section (from </t>
    </r>
    <r>
      <rPr>
        <i/>
        <sz val="12"/>
        <color theme="1"/>
        <rFont val="Calibri"/>
        <family val="2"/>
        <scheme val="minor"/>
      </rPr>
      <t>row 4 to row 58</t>
    </r>
    <r>
      <rPr>
        <sz val="12"/>
        <color theme="1"/>
        <rFont val="Calibri"/>
        <family val="2"/>
        <scheme val="minor"/>
      </rPr>
      <t xml:space="preserve">) contains the actual data that is extracted from the 18 AEMO OPDMS data files (see S5.1 of the report).  This data includes the utilisation metrics (based upon the actual data), and underlying data, including aggregate loading and ratings, etc.  Headings and comments in this table provide descriptions of the data that is extracted; however, readers are referred to section 5.1 of the report for a more complete discussion.   </t>
    </r>
  </si>
  <si>
    <t>This sheet is structured as follows:</t>
  </si>
  <si>
    <r>
      <t xml:space="preserve">The annual trends in the utilisation metrics (both actual and corrected) for each region - in </t>
    </r>
    <r>
      <rPr>
        <i/>
        <sz val="12"/>
        <color theme="1"/>
        <rFont val="Calibri"/>
        <family val="2"/>
        <scheme val="minor"/>
      </rPr>
      <t>column  C to column N</t>
    </r>
    <r>
      <rPr>
        <sz val="12"/>
        <color theme="1"/>
        <rFont val="Calibri"/>
        <family val="2"/>
        <scheme val="minor"/>
      </rPr>
      <t>.</t>
    </r>
  </si>
  <si>
    <r>
      <t>The average corrected utilisation metrics and density measures, discussed in Section 6.2 of the report - in</t>
    </r>
    <r>
      <rPr>
        <i/>
        <sz val="12"/>
        <color theme="1"/>
        <rFont val="Calibri"/>
        <family val="2"/>
        <scheme val="minor"/>
      </rPr>
      <t xml:space="preserve"> column O to column T</t>
    </r>
    <r>
      <rPr>
        <sz val="12"/>
        <color theme="1"/>
        <rFont val="Calibri"/>
        <family val="2"/>
        <scheme val="minor"/>
      </rPr>
      <t>.</t>
    </r>
  </si>
  <si>
    <r>
      <t>The table between</t>
    </r>
    <r>
      <rPr>
        <i/>
        <sz val="12"/>
        <color theme="1"/>
        <rFont val="Calibri"/>
        <family val="2"/>
        <scheme val="minor"/>
      </rPr>
      <t xml:space="preserve"> row 33 and row 16</t>
    </r>
    <r>
      <rPr>
        <sz val="12"/>
        <color theme="1"/>
        <rFont val="Calibri"/>
        <family val="2"/>
        <scheme val="minor"/>
      </rPr>
      <t xml:space="preserve"> contains the charts that are provided in the report.  These charts link to the data table above.  Each chart has a heading and reference to the relevant section in the report.  This report section should be referred to in order to obtain a more complete explanation of the chart.</t>
    </r>
  </si>
  <si>
    <r>
      <rPr>
        <b/>
        <sz val="12"/>
        <color theme="1"/>
        <rFont val="Calibri"/>
        <family val="2"/>
        <scheme val="minor"/>
      </rPr>
      <t>Importantly</t>
    </r>
    <r>
      <rPr>
        <sz val="12"/>
        <color theme="1"/>
        <rFont val="Calibri"/>
        <family val="2"/>
        <scheme val="minor"/>
      </rPr>
      <t xml:space="preserve">, </t>
    </r>
    <r>
      <rPr>
        <i/>
        <sz val="12"/>
        <color theme="1"/>
        <rFont val="Calibri"/>
        <family val="2"/>
        <scheme val="minor"/>
      </rPr>
      <t>cell S98</t>
    </r>
    <r>
      <rPr>
        <sz val="12"/>
        <color theme="1"/>
        <rFont val="Calibri"/>
        <family val="2"/>
        <scheme val="minor"/>
      </rPr>
      <t xml:space="preserve"> in the charting table includes a</t>
    </r>
    <r>
      <rPr>
        <i/>
        <sz val="12"/>
        <color theme="1"/>
        <rFont val="Calibri"/>
        <family val="2"/>
        <scheme val="minor"/>
      </rPr>
      <t xml:space="preserve"> toggle</t>
    </r>
    <r>
      <rPr>
        <sz val="12"/>
        <color theme="1"/>
        <rFont val="Calibri"/>
        <family val="2"/>
        <scheme val="minor"/>
      </rPr>
      <t xml:space="preserve"> to change the corrected data and charts to either include or exclude the corrections discussed in Section 6 of the report. </t>
    </r>
    <r>
      <rPr>
        <i/>
        <sz val="12"/>
        <color theme="1"/>
        <rFont val="Calibri"/>
        <family val="2"/>
        <scheme val="minor"/>
      </rPr>
      <t xml:space="preserve"> </t>
    </r>
    <r>
      <rPr>
        <b/>
        <i/>
        <sz val="12"/>
        <color theme="1"/>
        <rFont val="Calibri"/>
        <family val="2"/>
        <scheme val="minor"/>
      </rPr>
      <t>This cell represents the only user input required for this workbook</t>
    </r>
    <r>
      <rPr>
        <sz val="12"/>
        <color theme="1"/>
        <rFont val="Calibri"/>
        <family val="2"/>
        <scheme val="minor"/>
      </rPr>
      <t>.</t>
    </r>
  </si>
  <si>
    <r>
      <t>The workbook summarises the calculation of the</t>
    </r>
    <r>
      <rPr>
        <b/>
        <sz val="12"/>
        <color theme="1"/>
        <rFont val="Calibri"/>
        <family val="2"/>
        <scheme val="minor"/>
      </rPr>
      <t xml:space="preserve"> utilisation metrics</t>
    </r>
    <r>
      <rPr>
        <sz val="12"/>
        <color theme="1"/>
        <rFont val="Calibri"/>
        <family val="2"/>
        <scheme val="minor"/>
      </rPr>
      <t xml:space="preserve"> discussed in the report</t>
    </r>
    <r>
      <rPr>
        <b/>
        <sz val="12"/>
        <color theme="1"/>
        <rFont val="Calibri"/>
        <family val="2"/>
        <scheme val="minor"/>
      </rPr>
      <t xml:space="preserve">.  </t>
    </r>
    <r>
      <rPr>
        <sz val="12"/>
        <color theme="1"/>
        <rFont val="Calibri"/>
        <family val="2"/>
        <scheme val="minor"/>
      </rPr>
      <t>The form and rationale for these metrics is discussed in Section 3 of the report.  Sections 5 and 6 of the report provide more detailed explanations of the underlying data, assumptions and calculations that are provided in this workbook.  The following is a brief summary of the metrics.</t>
    </r>
  </si>
  <si>
    <r>
      <t>The second table, "</t>
    </r>
    <r>
      <rPr>
        <b/>
        <sz val="12"/>
        <color theme="1"/>
        <rFont val="Calibri"/>
        <family val="2"/>
        <scheme val="minor"/>
      </rPr>
      <t>S5.2, S5.3 &amp; S6 - calculations and supporting data</t>
    </r>
    <r>
      <rPr>
        <sz val="12"/>
        <color theme="1"/>
        <rFont val="Calibri"/>
        <family val="2"/>
        <scheme val="minor"/>
      </rPr>
      <t xml:space="preserve">", contains the data, assumptions and calculations that are applied to calculate the corrected utilisation metrics provided in the first table (noted above). Headings, comments and the underlying formulas in this table provide descriptions of the data and calculations; however, readers are referred to sections 5.2, 5.3 and 6 of the report for a more complete discussion (references to relevant report sections are included in the table).   </t>
    </r>
  </si>
  <si>
    <r>
      <t>The table between</t>
    </r>
    <r>
      <rPr>
        <i/>
        <sz val="12"/>
        <color theme="1"/>
        <rFont val="Calibri"/>
        <family val="2"/>
        <scheme val="minor"/>
      </rPr>
      <t xml:space="preserve"> row 1 and row 31</t>
    </r>
    <r>
      <rPr>
        <sz val="12"/>
        <color theme="1"/>
        <rFont val="Calibri"/>
        <family val="2"/>
        <scheme val="minor"/>
      </rPr>
      <t xml:space="preserve"> contains consolidated data from each of the three regional data sheets.  This is the data that is charted.  The data includes:</t>
    </r>
  </si>
  <si>
    <t>(must not include S6 corrections for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</si>
</sst>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0.0%"/>
  </numFmts>
  <fonts count="27"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b/>
      <sz val="9"/>
      <color indexed="81"/>
      <name val="Tahoma"/>
      <family val="2"/>
    </font>
    <font>
      <sz val="9"/>
      <color indexed="81"/>
      <name val="Tahoma"/>
      <family val="2"/>
    </font>
    <font>
      <sz val="10"/>
      <name val="Arial Narrow"/>
      <family val="2"/>
    </font>
    <font>
      <sz val="9"/>
      <color indexed="81"/>
      <name val="Calibri"/>
      <family val="2"/>
    </font>
    <font>
      <b/>
      <sz val="14"/>
      <color theme="1"/>
      <name val="Calibri"/>
      <family val="2"/>
      <scheme val="minor"/>
    </font>
    <font>
      <b/>
      <sz val="16"/>
      <color theme="1"/>
      <name val="Calibri"/>
      <scheme val="minor"/>
    </font>
    <font>
      <b/>
      <sz val="18"/>
      <color theme="1"/>
      <name val="Calibri"/>
      <scheme val="minor"/>
    </font>
    <font>
      <sz val="12"/>
      <color rgb="FF9C0006"/>
      <name val="Calibri"/>
      <family val="2"/>
      <scheme val="minor"/>
    </font>
    <font>
      <sz val="12"/>
      <color rgb="FF9C6500"/>
      <name val="Calibri"/>
      <family val="2"/>
      <scheme val="minor"/>
    </font>
    <font>
      <sz val="10"/>
      <color theme="1"/>
      <name val="Arial"/>
      <family val="2"/>
    </font>
    <font>
      <b/>
      <sz val="16"/>
      <color theme="1"/>
      <name val="Calibri"/>
      <family val="2"/>
      <scheme val="minor"/>
    </font>
    <font>
      <b/>
      <sz val="18"/>
      <color theme="1"/>
      <name val="Calibri"/>
      <family val="2"/>
      <scheme val="minor"/>
    </font>
    <font>
      <b/>
      <sz val="26"/>
      <color theme="1"/>
      <name val="Calibri"/>
      <family val="2"/>
      <scheme val="minor"/>
    </font>
    <font>
      <i/>
      <sz val="12"/>
      <color theme="1"/>
      <name val="Calibri"/>
      <family val="2"/>
      <scheme val="minor"/>
    </font>
    <font>
      <b/>
      <sz val="12"/>
      <name val="Calibri"/>
      <family val="2"/>
      <scheme val="minor"/>
    </font>
    <font>
      <b/>
      <i/>
      <sz val="12"/>
      <color theme="1"/>
      <name val="Calibri"/>
      <family val="2"/>
      <scheme val="minor"/>
    </font>
    <font>
      <b/>
      <sz val="9"/>
      <color indexed="81"/>
      <name val="Tahoma"/>
      <charset val="1"/>
    </font>
    <font>
      <sz val="12"/>
      <color theme="0" tint="-0.34998626667073579"/>
      <name val="Calibri"/>
      <family val="2"/>
      <scheme val="minor"/>
    </font>
    <font>
      <sz val="12"/>
      <color theme="5"/>
      <name val="Calibri"/>
      <family val="2"/>
      <scheme val="minor"/>
    </font>
    <font>
      <sz val="12"/>
      <color theme="4"/>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C7CE"/>
      </patternFill>
    </fill>
    <fill>
      <patternFill patternType="solid">
        <fgColor rgb="FFFFEB9C"/>
      </patternFill>
    </fill>
    <fill>
      <patternFill patternType="solid">
        <fgColor theme="2"/>
        <bgColor indexed="64"/>
      </patternFill>
    </fill>
    <fill>
      <patternFill patternType="darkUp">
        <bgColor theme="0" tint="-4.9989318521683403E-2"/>
      </patternFill>
    </fill>
    <fill>
      <patternFill patternType="darkUp"/>
    </fill>
  </fills>
  <borders count="5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thin">
        <color indexed="64"/>
      </top>
      <bottom style="double">
        <color indexed="64"/>
      </bottom>
      <diagonal/>
    </border>
  </borders>
  <cellStyleXfs count="339">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9" fontId="1" fillId="0" borderId="0" applyFont="0" applyFill="0" applyBorder="0" applyAlignment="0" applyProtection="0"/>
    <xf numFmtId="0" fontId="16"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53">
    <xf numFmtId="0" fontId="0" fillId="0" borderId="0" xfId="0"/>
    <xf numFmtId="9" fontId="0" fillId="0" borderId="0" xfId="0" applyNumberFormat="1"/>
    <xf numFmtId="9" fontId="0" fillId="0" borderId="0" xfId="2" applyFont="1"/>
    <xf numFmtId="164" fontId="0" fillId="0" borderId="0" xfId="0" applyNumberFormat="1"/>
    <xf numFmtId="1" fontId="0" fillId="0" borderId="0" xfId="0" applyNumberFormat="1"/>
    <xf numFmtId="0" fontId="11" fillId="0" borderId="0" xfId="0" applyFont="1"/>
    <xf numFmtId="0" fontId="0" fillId="0" borderId="6" xfId="0" applyBorder="1"/>
    <xf numFmtId="0" fontId="0" fillId="0" borderId="0" xfId="0" applyBorder="1"/>
    <xf numFmtId="0" fontId="0" fillId="0" borderId="7" xfId="0" applyBorder="1"/>
    <xf numFmtId="164" fontId="0" fillId="0" borderId="0" xfId="0" applyNumberFormat="1" applyBorder="1"/>
    <xf numFmtId="166" fontId="0" fillId="0" borderId="0" xfId="2" applyNumberFormat="1" applyFont="1" applyBorder="1"/>
    <xf numFmtId="9" fontId="0" fillId="0" borderId="0" xfId="0" applyNumberFormat="1" applyBorder="1"/>
    <xf numFmtId="9" fontId="0" fillId="0" borderId="7" xfId="0" applyNumberFormat="1" applyBorder="1"/>
    <xf numFmtId="9" fontId="0" fillId="0" borderId="10" xfId="0" applyNumberFormat="1" applyBorder="1"/>
    <xf numFmtId="0" fontId="0" fillId="0" borderId="10" xfId="0" applyBorder="1"/>
    <xf numFmtId="0" fontId="0" fillId="0" borderId="0" xfId="0" applyFill="1" applyBorder="1"/>
    <xf numFmtId="2" fontId="0" fillId="0" borderId="0" xfId="0" applyNumberFormat="1" applyBorder="1"/>
    <xf numFmtId="0" fontId="0" fillId="0" borderId="0" xfId="0" quotePrefix="1"/>
    <xf numFmtId="0" fontId="0" fillId="0" borderId="19" xfId="0" applyBorder="1"/>
    <xf numFmtId="0" fontId="0" fillId="0" borderId="18" xfId="0" applyBorder="1"/>
    <xf numFmtId="0" fontId="3" fillId="0" borderId="18" xfId="0" applyFont="1" applyBorder="1"/>
    <xf numFmtId="0" fontId="3" fillId="0" borderId="0" xfId="0" applyFont="1" applyBorder="1"/>
    <xf numFmtId="0" fontId="0" fillId="0" borderId="20" xfId="0" applyBorder="1"/>
    <xf numFmtId="0" fontId="0" fillId="0" borderId="14" xfId="0" applyBorder="1"/>
    <xf numFmtId="0" fontId="0" fillId="0" borderId="21" xfId="0" applyBorder="1"/>
    <xf numFmtId="0" fontId="0" fillId="0" borderId="22" xfId="0" applyBorder="1"/>
    <xf numFmtId="0" fontId="0" fillId="0" borderId="23" xfId="0" applyBorder="1"/>
    <xf numFmtId="0" fontId="18" fillId="8" borderId="15" xfId="0" applyFont="1" applyFill="1" applyBorder="1"/>
    <xf numFmtId="0" fontId="0" fillId="8" borderId="16" xfId="0" applyFill="1" applyBorder="1"/>
    <xf numFmtId="0" fontId="0" fillId="8" borderId="17" xfId="0" applyFill="1" applyBorder="1"/>
    <xf numFmtId="0" fontId="3" fillId="8" borderId="18" xfId="0" applyFont="1" applyFill="1" applyBorder="1"/>
    <xf numFmtId="0" fontId="0" fillId="8" borderId="0" xfId="0" applyFill="1" applyBorder="1"/>
    <xf numFmtId="0" fontId="0" fillId="8" borderId="19" xfId="0" applyFill="1" applyBorder="1"/>
    <xf numFmtId="0" fontId="0" fillId="8" borderId="18" xfId="0" applyFill="1" applyBorder="1"/>
    <xf numFmtId="0" fontId="0" fillId="8" borderId="20" xfId="0" applyFill="1" applyBorder="1"/>
    <xf numFmtId="0" fontId="0" fillId="8" borderId="14" xfId="0" applyFill="1" applyBorder="1"/>
    <xf numFmtId="0" fontId="0" fillId="8" borderId="21" xfId="0" applyFill="1" applyBorder="1"/>
    <xf numFmtId="0" fontId="13" fillId="8" borderId="15" xfId="0" applyFont="1" applyFill="1" applyBorder="1"/>
    <xf numFmtId="0" fontId="12" fillId="8" borderId="18" xfId="0" applyFont="1" applyFill="1" applyBorder="1"/>
    <xf numFmtId="0" fontId="3" fillId="8" borderId="0" xfId="0" applyFont="1" applyFill="1" applyBorder="1"/>
    <xf numFmtId="0" fontId="0" fillId="8" borderId="22" xfId="0" applyFill="1" applyBorder="1"/>
    <xf numFmtId="0" fontId="0" fillId="8" borderId="10" xfId="0" applyFill="1" applyBorder="1"/>
    <xf numFmtId="0" fontId="0" fillId="8" borderId="23" xfId="0" applyFill="1" applyBorder="1"/>
    <xf numFmtId="0" fontId="17" fillId="8" borderId="18" xfId="0" applyFont="1" applyFill="1" applyBorder="1"/>
    <xf numFmtId="0" fontId="18" fillId="8" borderId="18" xfId="0" applyFont="1" applyFill="1" applyBorder="1"/>
    <xf numFmtId="0" fontId="18" fillId="8" borderId="22" xfId="0" applyFont="1" applyFill="1" applyBorder="1"/>
    <xf numFmtId="9" fontId="0" fillId="0" borderId="0" xfId="2" applyFont="1" applyBorder="1"/>
    <xf numFmtId="9" fontId="0" fillId="0" borderId="19" xfId="2" applyFont="1" applyBorder="1"/>
    <xf numFmtId="1" fontId="0" fillId="0" borderId="0" xfId="0" applyNumberFormat="1" applyBorder="1"/>
    <xf numFmtId="9" fontId="3" fillId="0" borderId="0" xfId="2" applyFont="1" applyBorder="1"/>
    <xf numFmtId="10" fontId="0" fillId="0" borderId="0" xfId="2" applyNumberFormat="1" applyFont="1" applyBorder="1"/>
    <xf numFmtId="1" fontId="0" fillId="0" borderId="0" xfId="2" applyNumberFormat="1" applyFont="1" applyBorder="1"/>
    <xf numFmtId="166" fontId="0" fillId="0" borderId="0" xfId="0" applyNumberFormat="1" applyBorder="1"/>
    <xf numFmtId="9" fontId="3" fillId="0" borderId="0" xfId="0" applyNumberFormat="1" applyFont="1" applyBorder="1"/>
    <xf numFmtId="0" fontId="18" fillId="8" borderId="24" xfId="0" applyFont="1" applyFill="1" applyBorder="1"/>
    <xf numFmtId="0" fontId="0" fillId="8" borderId="25" xfId="0" applyFill="1" applyBorder="1"/>
    <xf numFmtId="0" fontId="0" fillId="8" borderId="26" xfId="0" applyFill="1" applyBorder="1"/>
    <xf numFmtId="0" fontId="22" fillId="0" borderId="18" xfId="0" applyFont="1" applyBorder="1"/>
    <xf numFmtId="0" fontId="22" fillId="0" borderId="27" xfId="0" applyFont="1" applyBorder="1"/>
    <xf numFmtId="0" fontId="11" fillId="0" borderId="16" xfId="0" applyFont="1" applyBorder="1"/>
    <xf numFmtId="0" fontId="3" fillId="0" borderId="6" xfId="0" applyFont="1" applyBorder="1"/>
    <xf numFmtId="0" fontId="20" fillId="0" borderId="0" xfId="0" applyFont="1" applyBorder="1"/>
    <xf numFmtId="0" fontId="0" fillId="0" borderId="0" xfId="0" applyFont="1" applyBorder="1"/>
    <xf numFmtId="9" fontId="1" fillId="0" borderId="0" xfId="2" applyFont="1" applyBorder="1"/>
    <xf numFmtId="1" fontId="14" fillId="6" borderId="0" xfId="153" applyNumberFormat="1" applyBorder="1"/>
    <xf numFmtId="0" fontId="0" fillId="0" borderId="22" xfId="0" applyFont="1" applyBorder="1"/>
    <xf numFmtId="0" fontId="0" fillId="0" borderId="10" xfId="0" applyFont="1" applyFill="1" applyBorder="1"/>
    <xf numFmtId="9" fontId="3" fillId="0" borderId="29" xfId="2" applyFont="1" applyBorder="1"/>
    <xf numFmtId="0" fontId="21" fillId="8" borderId="0" xfId="154" applyFont="1" applyFill="1" applyBorder="1"/>
    <xf numFmtId="0" fontId="20" fillId="8" borderId="0" xfId="0" applyFont="1" applyFill="1" applyBorder="1"/>
    <xf numFmtId="0" fontId="22" fillId="0" borderId="0" xfId="0" applyFont="1"/>
    <xf numFmtId="0" fontId="0" fillId="8" borderId="0" xfId="0" applyFill="1"/>
    <xf numFmtId="0" fontId="0" fillId="0" borderId="15" xfId="0" applyBorder="1"/>
    <xf numFmtId="0" fontId="17" fillId="0" borderId="18" xfId="0" applyFont="1" applyBorder="1"/>
    <xf numFmtId="9" fontId="0" fillId="0" borderId="14" xfId="2" applyFont="1" applyBorder="1"/>
    <xf numFmtId="164" fontId="0" fillId="0" borderId="14" xfId="0" applyNumberFormat="1" applyBorder="1"/>
    <xf numFmtId="9" fontId="0" fillId="0" borderId="14" xfId="0" applyNumberFormat="1" applyBorder="1"/>
    <xf numFmtId="0" fontId="3" fillId="0" borderId="30" xfId="0" applyFont="1" applyBorder="1"/>
    <xf numFmtId="9" fontId="0" fillId="0" borderId="7" xfId="2" applyFont="1" applyBorder="1"/>
    <xf numFmtId="0" fontId="0" fillId="0" borderId="11" xfId="0" applyBorder="1"/>
    <xf numFmtId="9" fontId="0" fillId="0" borderId="31" xfId="2" applyFont="1" applyBorder="1"/>
    <xf numFmtId="0" fontId="0" fillId="0" borderId="31" xfId="0" applyBorder="1"/>
    <xf numFmtId="0" fontId="0" fillId="0" borderId="32" xfId="0" applyBorder="1"/>
    <xf numFmtId="0" fontId="0" fillId="0" borderId="33" xfId="0" applyBorder="1"/>
    <xf numFmtId="0" fontId="3" fillId="0" borderId="33" xfId="0" applyFont="1" applyBorder="1"/>
    <xf numFmtId="0" fontId="3" fillId="0" borderId="34" xfId="0" applyFont="1" applyBorder="1"/>
    <xf numFmtId="0" fontId="0" fillId="0" borderId="34" xfId="0" applyBorder="1"/>
    <xf numFmtId="9" fontId="0" fillId="0" borderId="31" xfId="0" applyNumberFormat="1" applyBorder="1"/>
    <xf numFmtId="0" fontId="17" fillId="0" borderId="0" xfId="0" applyFont="1" applyBorder="1"/>
    <xf numFmtId="0" fontId="0" fillId="0" borderId="9" xfId="0" applyBorder="1"/>
    <xf numFmtId="164" fontId="0" fillId="0" borderId="7" xfId="0" applyNumberFormat="1" applyBorder="1"/>
    <xf numFmtId="164" fontId="0" fillId="0" borderId="31" xfId="0" applyNumberFormat="1" applyBorder="1"/>
    <xf numFmtId="0" fontId="20" fillId="0" borderId="18" xfId="0" applyFont="1" applyFill="1" applyBorder="1"/>
    <xf numFmtId="0" fontId="0" fillId="0" borderId="18" xfId="0" applyFont="1" applyFill="1" applyBorder="1"/>
    <xf numFmtId="0" fontId="20" fillId="0" borderId="0" xfId="0" applyFont="1" applyFill="1" applyBorder="1"/>
    <xf numFmtId="0" fontId="19" fillId="8" borderId="24" xfId="0" applyFont="1" applyFill="1" applyBorder="1"/>
    <xf numFmtId="9" fontId="0" fillId="8" borderId="25" xfId="2" applyFont="1" applyFill="1" applyBorder="1"/>
    <xf numFmtId="1" fontId="0" fillId="8" borderId="25" xfId="0" applyNumberFormat="1" applyFill="1" applyBorder="1"/>
    <xf numFmtId="9" fontId="0" fillId="8" borderId="25" xfId="0" applyNumberFormat="1" applyFill="1" applyBorder="1"/>
    <xf numFmtId="9" fontId="0" fillId="8" borderId="26" xfId="0" applyNumberFormat="1" applyFill="1" applyBorder="1"/>
    <xf numFmtId="0" fontId="19" fillId="8" borderId="15" xfId="0" applyFont="1" applyFill="1" applyBorder="1"/>
    <xf numFmtId="0" fontId="24" fillId="4" borderId="33" xfId="0" applyFont="1" applyFill="1" applyBorder="1"/>
    <xf numFmtId="0" fontId="24" fillId="4" borderId="35" xfId="0" applyFont="1" applyFill="1" applyBorder="1"/>
    <xf numFmtId="0" fontId="24" fillId="4" borderId="0" xfId="0" applyFont="1" applyFill="1" applyBorder="1"/>
    <xf numFmtId="0" fontId="24" fillId="4" borderId="19" xfId="0" applyFont="1" applyFill="1" applyBorder="1"/>
    <xf numFmtId="0" fontId="24" fillId="4" borderId="10" xfId="0" applyFont="1" applyFill="1" applyBorder="1"/>
    <xf numFmtId="0" fontId="24" fillId="4" borderId="23" xfId="0" applyFont="1" applyFill="1" applyBorder="1"/>
    <xf numFmtId="0" fontId="24" fillId="4" borderId="0" xfId="154" applyFont="1" applyFill="1" applyBorder="1"/>
    <xf numFmtId="1" fontId="24" fillId="4" borderId="0" xfId="2" applyNumberFormat="1" applyFont="1" applyFill="1" applyBorder="1"/>
    <xf numFmtId="1" fontId="24" fillId="4" borderId="0" xfId="0" applyNumberFormat="1" applyFont="1" applyFill="1" applyBorder="1"/>
    <xf numFmtId="1" fontId="24" fillId="4" borderId="14" xfId="0" applyNumberFormat="1" applyFont="1" applyFill="1" applyBorder="1"/>
    <xf numFmtId="0" fontId="24" fillId="4" borderId="21" xfId="0" applyFont="1" applyFill="1" applyBorder="1"/>
    <xf numFmtId="9" fontId="0" fillId="9" borderId="0" xfId="2" applyFont="1" applyFill="1" applyBorder="1"/>
    <xf numFmtId="9" fontId="0" fillId="9" borderId="14" xfId="2" applyFont="1" applyFill="1" applyBorder="1"/>
    <xf numFmtId="0" fontId="0" fillId="0" borderId="18" xfId="0" applyFont="1" applyBorder="1"/>
    <xf numFmtId="0" fontId="0" fillId="9" borderId="33" xfId="0" applyFill="1" applyBorder="1"/>
    <xf numFmtId="0" fontId="0" fillId="9" borderId="34" xfId="0" applyFill="1" applyBorder="1"/>
    <xf numFmtId="0" fontId="0" fillId="9" borderId="0" xfId="0" applyFill="1" applyBorder="1"/>
    <xf numFmtId="0" fontId="0" fillId="9" borderId="7" xfId="0" applyFill="1" applyBorder="1"/>
    <xf numFmtId="0" fontId="0" fillId="9" borderId="10" xfId="0" applyFill="1" applyBorder="1"/>
    <xf numFmtId="0" fontId="0" fillId="9" borderId="11" xfId="0" applyFill="1" applyBorder="1"/>
    <xf numFmtId="0" fontId="0" fillId="0" borderId="0" xfId="0" applyBorder="1" applyAlignment="1">
      <alignment horizontal="right"/>
    </xf>
    <xf numFmtId="0" fontId="0" fillId="0" borderId="36" xfId="0" applyBorder="1"/>
    <xf numFmtId="0" fontId="0" fillId="0" borderId="39" xfId="0" applyBorder="1"/>
    <xf numFmtId="0" fontId="11" fillId="0" borderId="0" xfId="0" applyFont="1" applyBorder="1"/>
    <xf numFmtId="0" fontId="0" fillId="0" borderId="0" xfId="0" applyBorder="1" applyAlignment="1">
      <alignment horizontal="center"/>
    </xf>
    <xf numFmtId="0" fontId="0" fillId="0" borderId="0" xfId="0" applyFont="1" applyBorder="1" applyAlignment="1">
      <alignment horizontal="right"/>
    </xf>
    <xf numFmtId="9" fontId="0" fillId="0" borderId="0" xfId="0" applyNumberFormat="1" applyFont="1" applyBorder="1"/>
    <xf numFmtId="0" fontId="0" fillId="0" borderId="36" xfId="0" applyFont="1" applyBorder="1"/>
    <xf numFmtId="9" fontId="0" fillId="0" borderId="37" xfId="0" applyNumberFormat="1" applyFont="1" applyBorder="1"/>
    <xf numFmtId="0" fontId="0" fillId="0" borderId="39" xfId="0" applyFont="1" applyBorder="1"/>
    <xf numFmtId="9" fontId="0" fillId="0" borderId="40" xfId="0" applyNumberFormat="1" applyFont="1" applyBorder="1"/>
    <xf numFmtId="0" fontId="11" fillId="0" borderId="19" xfId="0" applyFont="1" applyBorder="1"/>
    <xf numFmtId="9" fontId="0" fillId="0" borderId="38" xfId="0" applyNumberFormat="1" applyFont="1" applyBorder="1"/>
    <xf numFmtId="9" fontId="0" fillId="0" borderId="41" xfId="0" applyNumberFormat="1" applyFont="1" applyBorder="1"/>
    <xf numFmtId="9" fontId="0" fillId="0" borderId="19" xfId="0" applyNumberFormat="1" applyFont="1" applyBorder="1"/>
    <xf numFmtId="0" fontId="0" fillId="0" borderId="20" xfId="0" applyFont="1" applyBorder="1"/>
    <xf numFmtId="9" fontId="0" fillId="0" borderId="14" xfId="0" applyNumberFormat="1" applyFont="1" applyBorder="1"/>
    <xf numFmtId="9" fontId="0" fillId="0" borderId="21" xfId="0" applyNumberFormat="1" applyFont="1" applyBorder="1"/>
    <xf numFmtId="0" fontId="20" fillId="0" borderId="7" xfId="0" applyFont="1" applyBorder="1"/>
    <xf numFmtId="0" fontId="0" fillId="0" borderId="45" xfId="0" applyBorder="1" applyAlignment="1">
      <alignment horizontal="right"/>
    </xf>
    <xf numFmtId="0" fontId="0" fillId="0" borderId="7" xfId="0" applyBorder="1" applyAlignment="1">
      <alignment horizontal="right"/>
    </xf>
    <xf numFmtId="0" fontId="0" fillId="0" borderId="46" xfId="0" applyBorder="1" applyAlignment="1">
      <alignment horizontal="right"/>
    </xf>
    <xf numFmtId="0" fontId="20" fillId="0" borderId="3" xfId="0" applyFont="1" applyBorder="1"/>
    <xf numFmtId="0" fontId="0" fillId="0" borderId="45" xfId="0" applyFont="1" applyBorder="1" applyAlignment="1">
      <alignment horizontal="right"/>
    </xf>
    <xf numFmtId="0" fontId="0" fillId="0" borderId="46" xfId="0" applyFont="1" applyBorder="1" applyAlignment="1">
      <alignment horizontal="right"/>
    </xf>
    <xf numFmtId="0" fontId="0" fillId="0" borderId="7" xfId="0" applyFont="1" applyBorder="1" applyAlignment="1">
      <alignment horizontal="right"/>
    </xf>
    <xf numFmtId="0" fontId="0" fillId="0" borderId="31" xfId="0" applyFont="1" applyBorder="1" applyAlignment="1">
      <alignment horizontal="right"/>
    </xf>
    <xf numFmtId="9" fontId="0" fillId="2" borderId="37" xfId="2" applyFont="1" applyFill="1" applyBorder="1"/>
    <xf numFmtId="9" fontId="0" fillId="2" borderId="38" xfId="2" applyFont="1" applyFill="1" applyBorder="1"/>
    <xf numFmtId="9" fontId="0" fillId="2" borderId="0" xfId="2" applyFont="1" applyFill="1" applyBorder="1"/>
    <xf numFmtId="9" fontId="0" fillId="2" borderId="19" xfId="2" applyFont="1" applyFill="1" applyBorder="1"/>
    <xf numFmtId="9" fontId="0" fillId="2" borderId="40" xfId="2" applyFont="1" applyFill="1" applyBorder="1"/>
    <xf numFmtId="9" fontId="0" fillId="2" borderId="41" xfId="2" applyFont="1" applyFill="1" applyBorder="1"/>
    <xf numFmtId="9" fontId="0" fillId="2" borderId="10" xfId="2" applyFont="1" applyFill="1" applyBorder="1"/>
    <xf numFmtId="9" fontId="0" fillId="2" borderId="23" xfId="2" applyFont="1" applyFill="1" applyBorder="1"/>
    <xf numFmtId="165" fontId="0" fillId="2" borderId="37" xfId="1" applyNumberFormat="1" applyFont="1" applyFill="1" applyBorder="1"/>
    <xf numFmtId="165" fontId="0" fillId="2" borderId="38" xfId="1" applyNumberFormat="1" applyFont="1" applyFill="1" applyBorder="1"/>
    <xf numFmtId="165" fontId="0" fillId="2" borderId="0" xfId="1" applyNumberFormat="1" applyFont="1" applyFill="1" applyBorder="1"/>
    <xf numFmtId="165" fontId="0" fillId="2" borderId="19" xfId="1" applyNumberFormat="1" applyFont="1" applyFill="1" applyBorder="1"/>
    <xf numFmtId="165" fontId="0" fillId="2" borderId="40" xfId="1" applyNumberFormat="1" applyFont="1" applyFill="1" applyBorder="1"/>
    <xf numFmtId="165" fontId="0" fillId="2" borderId="41" xfId="1" applyNumberFormat="1" applyFont="1" applyFill="1" applyBorder="1"/>
    <xf numFmtId="165" fontId="0" fillId="2" borderId="10" xfId="1" applyNumberFormat="1" applyFont="1" applyFill="1" applyBorder="1"/>
    <xf numFmtId="165" fontId="0" fillId="2" borderId="23" xfId="1" applyNumberFormat="1" applyFont="1" applyFill="1" applyBorder="1"/>
    <xf numFmtId="165" fontId="0" fillId="2" borderId="14" xfId="1" applyNumberFormat="1" applyFont="1" applyFill="1" applyBorder="1"/>
    <xf numFmtId="165" fontId="0" fillId="2" borderId="21" xfId="1" applyNumberFormat="1" applyFont="1" applyFill="1" applyBorder="1"/>
    <xf numFmtId="0" fontId="0" fillId="10" borderId="37" xfId="0" applyFill="1" applyBorder="1"/>
    <xf numFmtId="0" fontId="0" fillId="10" borderId="0" xfId="0" applyFill="1" applyBorder="1"/>
    <xf numFmtId="0" fontId="0" fillId="10" borderId="40" xfId="0" applyFill="1" applyBorder="1"/>
    <xf numFmtId="0" fontId="0" fillId="10" borderId="10" xfId="0" applyFill="1" applyBorder="1"/>
    <xf numFmtId="9" fontId="0" fillId="0" borderId="0" xfId="0" applyNumberFormat="1" applyFill="1" applyBorder="1"/>
    <xf numFmtId="9" fontId="0" fillId="0" borderId="18" xfId="0" applyNumberFormat="1" applyBorder="1"/>
    <xf numFmtId="9" fontId="0" fillId="0" borderId="20" xfId="0" applyNumberFormat="1" applyBorder="1"/>
    <xf numFmtId="9" fontId="0" fillId="0" borderId="21" xfId="2" applyFont="1" applyBorder="1"/>
    <xf numFmtId="0" fontId="0" fillId="10" borderId="14" xfId="0" applyFill="1" applyBorder="1"/>
    <xf numFmtId="165" fontId="24" fillId="0" borderId="0" xfId="1" applyNumberFormat="1" applyFont="1" applyBorder="1"/>
    <xf numFmtId="0" fontId="24" fillId="0" borderId="0" xfId="0" applyFont="1" applyBorder="1"/>
    <xf numFmtId="0" fontId="0" fillId="0" borderId="22" xfId="0" applyBorder="1" applyAlignment="1">
      <alignment horizontal="right"/>
    </xf>
    <xf numFmtId="0" fontId="0" fillId="0" borderId="23" xfId="0" applyBorder="1" applyAlignment="1">
      <alignment horizontal="right"/>
    </xf>
    <xf numFmtId="9" fontId="3" fillId="0" borderId="10" xfId="2" applyFont="1" applyBorder="1"/>
    <xf numFmtId="0" fontId="0" fillId="0" borderId="10" xfId="0" applyFont="1" applyBorder="1"/>
    <xf numFmtId="9" fontId="0" fillId="0" borderId="10" xfId="0" applyNumberFormat="1" applyFont="1" applyBorder="1"/>
    <xf numFmtId="0" fontId="3" fillId="0" borderId="43" xfId="0" applyFont="1" applyBorder="1"/>
    <xf numFmtId="9" fontId="1" fillId="0" borderId="47" xfId="2" applyFont="1" applyBorder="1"/>
    <xf numFmtId="9" fontId="3" fillId="0" borderId="47" xfId="2" applyFont="1" applyBorder="1"/>
    <xf numFmtId="0" fontId="3" fillId="0" borderId="7" xfId="0" applyFont="1" applyBorder="1" applyAlignment="1">
      <alignment horizontal="right"/>
    </xf>
    <xf numFmtId="0" fontId="3" fillId="0" borderId="7" xfId="0" applyFont="1" applyBorder="1"/>
    <xf numFmtId="0" fontId="0" fillId="0" borderId="45" xfId="0" applyFont="1" applyBorder="1"/>
    <xf numFmtId="0" fontId="0" fillId="0" borderId="7" xfId="0" applyFont="1" applyBorder="1"/>
    <xf numFmtId="0" fontId="0" fillId="0" borderId="46" xfId="0" applyFont="1" applyBorder="1"/>
    <xf numFmtId="0" fontId="0" fillId="0" borderId="11" xfId="0" applyFont="1" applyBorder="1"/>
    <xf numFmtId="0" fontId="0" fillId="10" borderId="37" xfId="0" applyFont="1" applyFill="1" applyBorder="1"/>
    <xf numFmtId="0" fontId="0" fillId="10" borderId="0" xfId="0" applyFont="1" applyFill="1" applyBorder="1"/>
    <xf numFmtId="0" fontId="0" fillId="10" borderId="40" xfId="0" applyFont="1" applyFill="1" applyBorder="1"/>
    <xf numFmtId="9" fontId="0" fillId="10" borderId="0" xfId="2" applyFont="1" applyFill="1" applyBorder="1"/>
    <xf numFmtId="0" fontId="3" fillId="0" borderId="19" xfId="0" applyFont="1" applyBorder="1"/>
    <xf numFmtId="1" fontId="0" fillId="0" borderId="19" xfId="0" applyNumberFormat="1" applyBorder="1"/>
    <xf numFmtId="9" fontId="3" fillId="0" borderId="48" xfId="2" applyFont="1" applyBorder="1"/>
    <xf numFmtId="9" fontId="0" fillId="0" borderId="23" xfId="0" applyNumberFormat="1" applyFont="1" applyBorder="1"/>
    <xf numFmtId="166" fontId="0" fillId="0" borderId="19" xfId="2" applyNumberFormat="1" applyFont="1" applyBorder="1"/>
    <xf numFmtId="9" fontId="3" fillId="0" borderId="19" xfId="2" applyFont="1" applyBorder="1"/>
    <xf numFmtId="9" fontId="0" fillId="0" borderId="23" xfId="0" applyNumberFormat="1" applyBorder="1"/>
    <xf numFmtId="0" fontId="3" fillId="0" borderId="49" xfId="0" applyFont="1" applyBorder="1"/>
    <xf numFmtId="0" fontId="3" fillId="0" borderId="50" xfId="0" applyFont="1" applyBorder="1"/>
    <xf numFmtId="0" fontId="3" fillId="0" borderId="29" xfId="0" applyFont="1" applyBorder="1"/>
    <xf numFmtId="0" fontId="18" fillId="0" borderId="15" xfId="0" applyFont="1" applyBorder="1"/>
    <xf numFmtId="0" fontId="18" fillId="0" borderId="16" xfId="0" applyFont="1" applyBorder="1"/>
    <xf numFmtId="0" fontId="21" fillId="3" borderId="0" xfId="154" applyFont="1" applyFill="1" applyBorder="1"/>
    <xf numFmtId="0" fontId="0" fillId="10" borderId="19" xfId="0" applyFill="1" applyBorder="1"/>
    <xf numFmtId="0" fontId="0" fillId="10" borderId="18" xfId="0" applyFill="1" applyBorder="1"/>
    <xf numFmtId="1" fontId="0" fillId="10" borderId="0" xfId="2" applyNumberFormat="1" applyFont="1" applyFill="1" applyBorder="1"/>
    <xf numFmtId="0" fontId="0" fillId="10" borderId="22" xfId="0" applyFill="1" applyBorder="1"/>
    <xf numFmtId="1" fontId="0" fillId="10" borderId="10" xfId="2" applyNumberFormat="1" applyFont="1" applyFill="1" applyBorder="1"/>
    <xf numFmtId="0" fontId="0" fillId="10" borderId="23" xfId="0" applyFill="1" applyBorder="1"/>
    <xf numFmtId="0" fontId="20" fillId="0" borderId="10" xfId="0" applyFont="1" applyBorder="1"/>
    <xf numFmtId="0" fontId="3" fillId="0" borderId="1" xfId="0" applyFont="1" applyBorder="1"/>
    <xf numFmtId="0" fontId="0" fillId="0" borderId="13" xfId="0" applyBorder="1"/>
    <xf numFmtId="166" fontId="3" fillId="0" borderId="13" xfId="2" applyNumberFormat="1" applyFont="1" applyBorder="1"/>
    <xf numFmtId="0" fontId="0" fillId="0" borderId="2" xfId="0" applyBorder="1"/>
    <xf numFmtId="166" fontId="0" fillId="0" borderId="14" xfId="2" applyNumberFormat="1" applyFont="1" applyBorder="1"/>
    <xf numFmtId="166" fontId="0" fillId="0" borderId="21" xfId="2" applyNumberFormat="1" applyFont="1" applyBorder="1"/>
    <xf numFmtId="0" fontId="18" fillId="0" borderId="0" xfId="0" applyFont="1"/>
    <xf numFmtId="14" fontId="0" fillId="0" borderId="0" xfId="0" applyNumberFormat="1" applyAlignment="1">
      <alignment horizontal="left"/>
    </xf>
    <xf numFmtId="0" fontId="0" fillId="0" borderId="0" xfId="0" applyAlignment="1">
      <alignment wrapText="1"/>
    </xf>
    <xf numFmtId="0" fontId="0" fillId="0" borderId="0" xfId="0" applyAlignment="1">
      <alignment horizontal="left" wrapText="1" indent="2"/>
    </xf>
    <xf numFmtId="0" fontId="0" fillId="0" borderId="0" xfId="0" applyAlignment="1">
      <alignment horizontal="left" wrapText="1" indent="4"/>
    </xf>
    <xf numFmtId="0" fontId="0" fillId="0" borderId="0" xfId="0" applyAlignment="1"/>
    <xf numFmtId="0" fontId="17" fillId="5" borderId="5" xfId="0" applyFont="1" applyFill="1" applyBorder="1" applyAlignment="1">
      <alignment wrapText="1"/>
    </xf>
    <xf numFmtId="0" fontId="0" fillId="0" borderId="8" xfId="0" applyBorder="1" applyAlignment="1">
      <alignment wrapText="1"/>
    </xf>
    <xf numFmtId="0" fontId="0" fillId="0" borderId="8" xfId="0" applyBorder="1" applyAlignment="1">
      <alignment horizontal="left" wrapText="1" indent="2"/>
    </xf>
    <xf numFmtId="0" fontId="0" fillId="0" borderId="8" xfId="0" applyBorder="1" applyAlignment="1">
      <alignment horizontal="left" wrapText="1" indent="4"/>
    </xf>
    <xf numFmtId="0" fontId="0" fillId="0" borderId="8" xfId="0" quotePrefix="1" applyBorder="1" applyAlignment="1">
      <alignment horizontal="left" wrapText="1" indent="4"/>
    </xf>
    <xf numFmtId="0" fontId="0" fillId="0" borderId="8" xfId="0" applyBorder="1" applyAlignment="1">
      <alignment horizontal="left" wrapText="1" indent="5"/>
    </xf>
    <xf numFmtId="0" fontId="0" fillId="0" borderId="12" xfId="0" applyBorder="1" applyAlignment="1">
      <alignment horizontal="left" wrapText="1" indent="5"/>
    </xf>
    <xf numFmtId="0" fontId="11" fillId="0" borderId="8" xfId="0" applyFont="1" applyBorder="1" applyAlignment="1">
      <alignment wrapText="1"/>
    </xf>
    <xf numFmtId="0" fontId="0" fillId="0" borderId="12" xfId="0" applyBorder="1" applyAlignment="1">
      <alignment wrapText="1"/>
    </xf>
    <xf numFmtId="0" fontId="20" fillId="0" borderId="0" xfId="0" applyFont="1" applyAlignment="1">
      <alignment horizontal="center" wrapText="1"/>
    </xf>
    <xf numFmtId="0" fontId="0" fillId="0" borderId="0" xfId="0" applyAlignment="1">
      <alignment horizontal="left" vertical="top" wrapText="1" indent="2"/>
    </xf>
    <xf numFmtId="0" fontId="22" fillId="0" borderId="42" xfId="0" applyFont="1" applyBorder="1" applyAlignment="1">
      <alignment horizontal="center"/>
    </xf>
    <xf numFmtId="0" fontId="22" fillId="0" borderId="44" xfId="0" applyFont="1" applyBorder="1" applyAlignment="1">
      <alignment horizontal="center"/>
    </xf>
    <xf numFmtId="0" fontId="17" fillId="2" borderId="33" xfId="0" applyFont="1" applyFill="1" applyBorder="1" applyAlignment="1">
      <alignment horizontal="center"/>
    </xf>
    <xf numFmtId="0" fontId="17" fillId="2" borderId="35" xfId="0" applyFont="1" applyFill="1" applyBorder="1" applyAlignment="1">
      <alignment horizontal="center"/>
    </xf>
    <xf numFmtId="0" fontId="22" fillId="0" borderId="4" xfId="0" applyFont="1" applyBorder="1" applyAlignment="1">
      <alignment horizontal="center"/>
    </xf>
    <xf numFmtId="0" fontId="22" fillId="0" borderId="28" xfId="0" applyFont="1" applyBorder="1" applyAlignment="1">
      <alignment horizontal="center"/>
    </xf>
    <xf numFmtId="0" fontId="0" fillId="0" borderId="0" xfId="0" applyBorder="1" applyAlignment="1">
      <alignment horizontal="center"/>
    </xf>
    <xf numFmtId="0" fontId="17" fillId="0" borderId="10" xfId="0" applyFont="1" applyBorder="1" applyAlignment="1">
      <alignment horizontal="center"/>
    </xf>
    <xf numFmtId="0" fontId="17" fillId="0" borderId="23" xfId="0" applyFont="1" applyBorder="1" applyAlignment="1">
      <alignment horizontal="center"/>
    </xf>
    <xf numFmtId="0" fontId="3" fillId="0" borderId="15" xfId="0" applyFont="1" applyBorder="1" applyAlignment="1">
      <alignment horizontal="center"/>
    </xf>
    <xf numFmtId="0" fontId="3" fillId="0" borderId="17" xfId="0" applyFont="1" applyBorder="1" applyAlignment="1">
      <alignment horizontal="center"/>
    </xf>
    <xf numFmtId="0" fontId="3" fillId="0" borderId="0" xfId="0" applyFont="1" applyBorder="1" applyAlignment="1">
      <alignment horizontal="center"/>
    </xf>
    <xf numFmtId="0" fontId="3" fillId="0" borderId="19" xfId="0" applyFont="1" applyBorder="1" applyAlignment="1">
      <alignment horizontal="center"/>
    </xf>
    <xf numFmtId="0" fontId="22" fillId="0" borderId="0" xfId="0" applyFont="1" applyBorder="1" applyAlignment="1">
      <alignment horizontal="center"/>
    </xf>
    <xf numFmtId="0" fontId="22" fillId="0" borderId="19" xfId="0" applyFont="1" applyBorder="1" applyAlignment="1">
      <alignment horizontal="center"/>
    </xf>
  </cellXfs>
  <cellStyles count="339">
    <cellStyle name="Bad" xfId="153" builtinId="27"/>
    <cellStyle name="Comma" xfId="1" builtinId="3"/>
    <cellStyle name="Comma 2" xfId="22"/>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Neutral" xfId="154" builtinId="28"/>
    <cellStyle name="Normal" xfId="0" builtinId="0"/>
    <cellStyle name="Normal 2" xfId="21"/>
    <cellStyle name="Normal 3" xfId="156"/>
    <cellStyle name="Normal 6" xfId="24"/>
    <cellStyle name="Percent" xfId="2" builtinId="5"/>
    <cellStyle name="Percent 2" xfId="23"/>
    <cellStyle name="Percent 3" xfId="15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'Utilisation charting'!$B$5</c:f>
              <c:strCache>
                <c:ptCount val="1"/>
                <c:pt idx="0">
                  <c:v>VIC</c:v>
                </c:pt>
              </c:strCache>
            </c:strRef>
          </c:tx>
          <c:trendline>
            <c:spPr>
              <a:ln>
                <a:solidFill>
                  <a:schemeClr val="accent1"/>
                </a:solidFill>
                <a:prstDash val="sysDash"/>
              </a:ln>
            </c:spPr>
            <c:trendlineType val="linear"/>
            <c:dispRSqr val="0"/>
            <c:dispEq val="0"/>
          </c:trendline>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charting'!$I$5:$N$5</c:f>
              <c:numCache>
                <c:formatCode>0%</c:formatCode>
                <c:ptCount val="6"/>
                <c:pt idx="0">
                  <c:v>0.58985303880327544</c:v>
                </c:pt>
                <c:pt idx="1">
                  <c:v>0.66225751394349719</c:v>
                </c:pt>
                <c:pt idx="2">
                  <c:v>0.62107250137989856</c:v>
                </c:pt>
                <c:pt idx="3">
                  <c:v>0.63735980072383669</c:v>
                </c:pt>
                <c:pt idx="4">
                  <c:v>0.58097266540380588</c:v>
                </c:pt>
                <c:pt idx="5">
                  <c:v>0.56066253446574299</c:v>
                </c:pt>
              </c:numCache>
            </c:numRef>
          </c:val>
          <c:smooth val="0"/>
        </c:ser>
        <c:ser>
          <c:idx val="1"/>
          <c:order val="1"/>
          <c:tx>
            <c:strRef>
              <c:f>'Utilisation charting'!$B$6</c:f>
              <c:strCache>
                <c:ptCount val="1"/>
                <c:pt idx="0">
                  <c:v>NSW</c:v>
                </c:pt>
              </c:strCache>
            </c:strRef>
          </c:tx>
          <c:trendline>
            <c:spPr>
              <a:ln>
                <a:solidFill>
                  <a:schemeClr val="accent2"/>
                </a:solidFill>
                <a:prstDash val="sysDash"/>
              </a:ln>
            </c:spPr>
            <c:trendlineType val="linear"/>
            <c:dispRSqr val="0"/>
            <c:dispEq val="0"/>
          </c:trendline>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charting'!$I$6:$N$6</c:f>
              <c:numCache>
                <c:formatCode>0%</c:formatCode>
                <c:ptCount val="6"/>
                <c:pt idx="0">
                  <c:v>0.47975508237226705</c:v>
                </c:pt>
                <c:pt idx="1">
                  <c:v>0.48740646547164246</c:v>
                </c:pt>
                <c:pt idx="2">
                  <c:v>0.50898711833421972</c:v>
                </c:pt>
                <c:pt idx="3">
                  <c:v>0.44404169937943855</c:v>
                </c:pt>
                <c:pt idx="4">
                  <c:v>0.41888437707578441</c:v>
                </c:pt>
                <c:pt idx="5">
                  <c:v>0.39710176877692088</c:v>
                </c:pt>
              </c:numCache>
            </c:numRef>
          </c:val>
          <c:smooth val="0"/>
        </c:ser>
        <c:ser>
          <c:idx val="2"/>
          <c:order val="2"/>
          <c:tx>
            <c:strRef>
              <c:f>'Utilisation charting'!$B$7</c:f>
              <c:strCache>
                <c:ptCount val="1"/>
                <c:pt idx="0">
                  <c:v>QLD</c:v>
                </c:pt>
              </c:strCache>
            </c:strRef>
          </c:tx>
          <c:trendline>
            <c:spPr>
              <a:ln>
                <a:solidFill>
                  <a:schemeClr val="accent3"/>
                </a:solidFill>
                <a:prstDash val="sysDash"/>
              </a:ln>
            </c:spPr>
            <c:trendlineType val="linear"/>
            <c:dispRSqr val="0"/>
            <c:dispEq val="0"/>
          </c:trendline>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charting'!$I$7:$N$7</c:f>
              <c:numCache>
                <c:formatCode>0%</c:formatCode>
                <c:ptCount val="6"/>
                <c:pt idx="0">
                  <c:v>0.44833479189518322</c:v>
                </c:pt>
                <c:pt idx="1">
                  <c:v>0.42948139654495371</c:v>
                </c:pt>
                <c:pt idx="2">
                  <c:v>0.37632912823100223</c:v>
                </c:pt>
                <c:pt idx="3">
                  <c:v>0.37371992498004164</c:v>
                </c:pt>
                <c:pt idx="4">
                  <c:v>0.36296960365672348</c:v>
                </c:pt>
                <c:pt idx="5">
                  <c:v>0.37097479329123501</c:v>
                </c:pt>
              </c:numCache>
            </c:numRef>
          </c:val>
          <c:smooth val="0"/>
        </c:ser>
        <c:dLbls>
          <c:showLegendKey val="0"/>
          <c:showVal val="0"/>
          <c:showCatName val="0"/>
          <c:showSerName val="0"/>
          <c:showPercent val="0"/>
          <c:showBubbleSize val="0"/>
        </c:dLbls>
        <c:marker val="1"/>
        <c:smooth val="0"/>
        <c:axId val="140746112"/>
        <c:axId val="141742464"/>
      </c:lineChart>
      <c:catAx>
        <c:axId val="140746112"/>
        <c:scaling>
          <c:orientation val="minMax"/>
        </c:scaling>
        <c:delete val="0"/>
        <c:axPos val="b"/>
        <c:numFmt formatCode="General" sourceLinked="1"/>
        <c:majorTickMark val="out"/>
        <c:minorTickMark val="none"/>
        <c:tickLblPos val="nextTo"/>
        <c:crossAx val="141742464"/>
        <c:crosses val="autoZero"/>
        <c:auto val="1"/>
        <c:lblAlgn val="ctr"/>
        <c:lblOffset val="100"/>
        <c:noMultiLvlLbl val="0"/>
      </c:catAx>
      <c:valAx>
        <c:axId val="141742464"/>
        <c:scaling>
          <c:orientation val="minMax"/>
        </c:scaling>
        <c:delete val="0"/>
        <c:axPos val="l"/>
        <c:majorGridlines/>
        <c:title>
          <c:tx>
            <c:rich>
              <a:bodyPr rot="-5400000" vert="horz"/>
              <a:lstStyle/>
              <a:p>
                <a:pPr>
                  <a:defRPr/>
                </a:pPr>
                <a:r>
                  <a:rPr lang="en-US"/>
                  <a:t>Transformer utilisation (all)</a:t>
                </a:r>
              </a:p>
            </c:rich>
          </c:tx>
          <c:layout/>
          <c:overlay val="0"/>
        </c:title>
        <c:numFmt formatCode="0%" sourceLinked="1"/>
        <c:majorTickMark val="out"/>
        <c:minorTickMark val="none"/>
        <c:tickLblPos val="nextTo"/>
        <c:crossAx val="140746112"/>
        <c:crosses val="autoZero"/>
        <c:crossBetween val="between"/>
      </c:valAx>
    </c:plotArea>
    <c:legend>
      <c:legendPos val="r"/>
      <c:layout/>
      <c:overlay val="0"/>
    </c:legend>
    <c:plotVisOnly val="0"/>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'Utilisation charting'!$B$18</c:f>
              <c:strCache>
                <c:ptCount val="1"/>
                <c:pt idx="0">
                  <c:v>VIC</c:v>
                </c:pt>
              </c:strCache>
            </c:strRef>
          </c:tx>
          <c:trendline>
            <c:spPr>
              <a:ln>
                <a:solidFill>
                  <a:schemeClr val="accent1"/>
                </a:solidFill>
                <a:prstDash val="sysDash"/>
              </a:ln>
            </c:spPr>
            <c:trendlineType val="linear"/>
            <c:dispRSqr val="0"/>
            <c:dispEq val="0"/>
          </c:trendline>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charting'!$I$18:$N$18</c:f>
              <c:numCache>
                <c:formatCode>0%</c:formatCode>
                <c:ptCount val="6"/>
                <c:pt idx="0">
                  <c:v>0.27380586225752107</c:v>
                </c:pt>
                <c:pt idx="1">
                  <c:v>0.31859880476708113</c:v>
                </c:pt>
                <c:pt idx="2">
                  <c:v>0.33809835212515682</c:v>
                </c:pt>
                <c:pt idx="3">
                  <c:v>0.38489103734173313</c:v>
                </c:pt>
                <c:pt idx="4">
                  <c:v>0.34079536215766537</c:v>
                </c:pt>
                <c:pt idx="5">
                  <c:v>0.29647195076046001</c:v>
                </c:pt>
              </c:numCache>
            </c:numRef>
          </c:val>
          <c:smooth val="0"/>
        </c:ser>
        <c:ser>
          <c:idx val="1"/>
          <c:order val="1"/>
          <c:tx>
            <c:strRef>
              <c:f>'Utilisation charting'!$B$19</c:f>
              <c:strCache>
                <c:ptCount val="1"/>
                <c:pt idx="0">
                  <c:v>NSW</c:v>
                </c:pt>
              </c:strCache>
            </c:strRef>
          </c:tx>
          <c:trendline>
            <c:spPr>
              <a:ln>
                <a:solidFill>
                  <a:srgbClr val="FF0000"/>
                </a:solidFill>
                <a:prstDash val="sysDash"/>
              </a:ln>
            </c:spPr>
            <c:trendlineType val="linear"/>
            <c:dispRSqr val="0"/>
            <c:dispEq val="0"/>
          </c:trendline>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charting'!$I$19:$N$19</c:f>
              <c:numCache>
                <c:formatCode>0%</c:formatCode>
                <c:ptCount val="6"/>
                <c:pt idx="0">
                  <c:v>0.37544949722173093</c:v>
                </c:pt>
                <c:pt idx="1">
                  <c:v>0.32196437348531071</c:v>
                </c:pt>
                <c:pt idx="2">
                  <c:v>0.34837966001121723</c:v>
                </c:pt>
                <c:pt idx="3">
                  <c:v>0.34130096528932719</c:v>
                </c:pt>
                <c:pt idx="4">
                  <c:v>0.28395281375087977</c:v>
                </c:pt>
                <c:pt idx="5">
                  <c:v>0.32310854157792507</c:v>
                </c:pt>
              </c:numCache>
            </c:numRef>
          </c:val>
          <c:smooth val="0"/>
        </c:ser>
        <c:ser>
          <c:idx val="2"/>
          <c:order val="2"/>
          <c:tx>
            <c:strRef>
              <c:f>'Utilisation charting'!$B$20</c:f>
              <c:strCache>
                <c:ptCount val="1"/>
                <c:pt idx="0">
                  <c:v>QLD</c:v>
                </c:pt>
              </c:strCache>
            </c:strRef>
          </c:tx>
          <c:trendline>
            <c:spPr>
              <a:ln>
                <a:solidFill>
                  <a:schemeClr val="accent3"/>
                </a:solidFill>
                <a:prstDash val="sysDash"/>
              </a:ln>
            </c:spPr>
            <c:trendlineType val="linear"/>
            <c:dispRSqr val="0"/>
            <c:dispEq val="0"/>
          </c:trendline>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charting'!$I$20:$N$20</c:f>
              <c:numCache>
                <c:formatCode>0%</c:formatCode>
                <c:ptCount val="6"/>
                <c:pt idx="0">
                  <c:v>0.36575623184515316</c:v>
                </c:pt>
                <c:pt idx="1">
                  <c:v>0.35498737025770716</c:v>
                </c:pt>
                <c:pt idx="2">
                  <c:v>0.28079739380506263</c:v>
                </c:pt>
                <c:pt idx="3">
                  <c:v>0.2824545347274266</c:v>
                </c:pt>
                <c:pt idx="4">
                  <c:v>0.2855765245400021</c:v>
                </c:pt>
                <c:pt idx="5">
                  <c:v>0.27150125497270294</c:v>
                </c:pt>
              </c:numCache>
            </c:numRef>
          </c:val>
          <c:smooth val="0"/>
        </c:ser>
        <c:dLbls>
          <c:showLegendKey val="0"/>
          <c:showVal val="0"/>
          <c:showCatName val="0"/>
          <c:showSerName val="0"/>
          <c:showPercent val="0"/>
          <c:showBubbleSize val="0"/>
        </c:dLbls>
        <c:marker val="1"/>
        <c:smooth val="0"/>
        <c:axId val="153979904"/>
        <c:axId val="156699648"/>
      </c:lineChart>
      <c:catAx>
        <c:axId val="153979904"/>
        <c:scaling>
          <c:orientation val="minMax"/>
        </c:scaling>
        <c:delete val="0"/>
        <c:axPos val="b"/>
        <c:numFmt formatCode="General" sourceLinked="1"/>
        <c:majorTickMark val="out"/>
        <c:minorTickMark val="none"/>
        <c:tickLblPos val="nextTo"/>
        <c:crossAx val="156699648"/>
        <c:crosses val="autoZero"/>
        <c:auto val="1"/>
        <c:lblAlgn val="ctr"/>
        <c:lblOffset val="100"/>
        <c:noMultiLvlLbl val="0"/>
      </c:catAx>
      <c:valAx>
        <c:axId val="156699648"/>
        <c:scaling>
          <c:orientation val="minMax"/>
          <c:max val="0.4"/>
          <c:min val="0.2"/>
        </c:scaling>
        <c:delete val="0"/>
        <c:axPos val="l"/>
        <c:majorGridlines/>
        <c:title>
          <c:tx>
            <c:rich>
              <a:bodyPr rot="-5400000" vert="horz"/>
              <a:lstStyle/>
              <a:p>
                <a:pPr>
                  <a:defRPr/>
                </a:pPr>
                <a:r>
                  <a:rPr lang="en-US"/>
                  <a:t>Line utilisation</a:t>
                </a:r>
              </a:p>
            </c:rich>
          </c:tx>
          <c:layout/>
          <c:overlay val="0"/>
        </c:title>
        <c:numFmt formatCode="0.0%" sourceLinked="0"/>
        <c:majorTickMark val="out"/>
        <c:minorTickMark val="none"/>
        <c:tickLblPos val="nextTo"/>
        <c:crossAx val="153979904"/>
        <c:crosses val="autoZero"/>
        <c:crossBetween val="between"/>
        <c:majorUnit val="2.5000000000000005E-2"/>
      </c:valAx>
    </c:plotArea>
    <c:legend>
      <c:legendPos val="r"/>
      <c:layout/>
      <c:overlay val="0"/>
    </c:legend>
    <c:plotVisOnly val="0"/>
    <c:dispBlanksAs val="gap"/>
    <c:showDLblsOverMax val="0"/>
  </c:chart>
  <c:spPr>
    <a:ln>
      <a:no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scatterChart>
        <c:scatterStyle val="lineMarker"/>
        <c:varyColors val="0"/>
        <c:ser>
          <c:idx val="0"/>
          <c:order val="0"/>
          <c:tx>
            <c:strRef>
              <c:f>'Utilisation charting'!$B$25</c:f>
              <c:strCache>
                <c:ptCount val="1"/>
                <c:pt idx="0">
                  <c:v>VIC</c:v>
                </c:pt>
              </c:strCache>
            </c:strRef>
          </c:tx>
          <c:xVal>
            <c:numRef>
              <c:f>'Utilisation charting'!$I$2:$N$2</c:f>
              <c:numCache>
                <c:formatCode>General</c:formatCode>
                <c:ptCount val="6"/>
                <c:pt idx="0">
                  <c:v>2006</c:v>
                </c:pt>
                <c:pt idx="1">
                  <c:v>2007</c:v>
                </c:pt>
                <c:pt idx="2">
                  <c:v>2008</c:v>
                </c:pt>
                <c:pt idx="3">
                  <c:v>2009</c:v>
                </c:pt>
                <c:pt idx="4">
                  <c:v>2010</c:v>
                </c:pt>
                <c:pt idx="5">
                  <c:v>2011</c:v>
                </c:pt>
              </c:numCache>
            </c:numRef>
          </c:xVal>
          <c:yVal>
            <c:numRef>
              <c:f>'Utilisation charting'!$I$25:$N$25</c:f>
              <c:numCache>
                <c:formatCode>0%</c:formatCode>
                <c:ptCount val="6"/>
                <c:pt idx="0">
                  <c:v>0.58409854358787161</c:v>
                </c:pt>
                <c:pt idx="1">
                  <c:v>0.68701746640614758</c:v>
                </c:pt>
                <c:pt idx="2">
                  <c:v>0.56278856603092509</c:v>
                </c:pt>
                <c:pt idx="3">
                  <c:v>0.53089903858906173</c:v>
                </c:pt>
                <c:pt idx="4">
                  <c:v>0.49613832071046815</c:v>
                </c:pt>
                <c:pt idx="5">
                  <c:v>0.53380734930352713</c:v>
                </c:pt>
              </c:numCache>
            </c:numRef>
          </c:yVal>
          <c:smooth val="0"/>
        </c:ser>
        <c:ser>
          <c:idx val="1"/>
          <c:order val="1"/>
          <c:tx>
            <c:strRef>
              <c:f>'Utilisation charting'!$B$26</c:f>
              <c:strCache>
                <c:ptCount val="1"/>
                <c:pt idx="0">
                  <c:v>NSW</c:v>
                </c:pt>
              </c:strCache>
            </c:strRef>
          </c:tx>
          <c:xVal>
            <c:numRef>
              <c:f>'Utilisation charting'!$I$2:$N$2</c:f>
              <c:numCache>
                <c:formatCode>General</c:formatCode>
                <c:ptCount val="6"/>
                <c:pt idx="0">
                  <c:v>2006</c:v>
                </c:pt>
                <c:pt idx="1">
                  <c:v>2007</c:v>
                </c:pt>
                <c:pt idx="2">
                  <c:v>2008</c:v>
                </c:pt>
                <c:pt idx="3">
                  <c:v>2009</c:v>
                </c:pt>
                <c:pt idx="4">
                  <c:v>2010</c:v>
                </c:pt>
                <c:pt idx="5">
                  <c:v>2011</c:v>
                </c:pt>
              </c:numCache>
            </c:numRef>
          </c:xVal>
          <c:yVal>
            <c:numRef>
              <c:f>'Utilisation charting'!$I$26:$N$26</c:f>
              <c:numCache>
                <c:formatCode>0%</c:formatCode>
                <c:ptCount val="6"/>
                <c:pt idx="0">
                  <c:v>0.4871777077039286</c:v>
                </c:pt>
                <c:pt idx="1">
                  <c:v>0.46978258282429169</c:v>
                </c:pt>
                <c:pt idx="2">
                  <c:v>0.49206729578475278</c:v>
                </c:pt>
                <c:pt idx="3">
                  <c:v>0.4418913391404824</c:v>
                </c:pt>
                <c:pt idx="4">
                  <c:v>0.43201586697363942</c:v>
                </c:pt>
                <c:pt idx="5">
                  <c:v>0.42221214834414972</c:v>
                </c:pt>
              </c:numCache>
            </c:numRef>
          </c:yVal>
          <c:smooth val="0"/>
        </c:ser>
        <c:ser>
          <c:idx val="2"/>
          <c:order val="2"/>
          <c:tx>
            <c:strRef>
              <c:f>'Utilisation charting'!$B$27</c:f>
              <c:strCache>
                <c:ptCount val="1"/>
                <c:pt idx="0">
                  <c:v>QLD</c:v>
                </c:pt>
              </c:strCache>
            </c:strRef>
          </c:tx>
          <c:xVal>
            <c:numRef>
              <c:f>'Utilisation charting'!$I$2:$N$2</c:f>
              <c:numCache>
                <c:formatCode>General</c:formatCode>
                <c:ptCount val="6"/>
                <c:pt idx="0">
                  <c:v>2006</c:v>
                </c:pt>
                <c:pt idx="1">
                  <c:v>2007</c:v>
                </c:pt>
                <c:pt idx="2">
                  <c:v>2008</c:v>
                </c:pt>
                <c:pt idx="3">
                  <c:v>2009</c:v>
                </c:pt>
                <c:pt idx="4">
                  <c:v>2010</c:v>
                </c:pt>
                <c:pt idx="5">
                  <c:v>2011</c:v>
                </c:pt>
              </c:numCache>
            </c:numRef>
          </c:xVal>
          <c:yVal>
            <c:numRef>
              <c:f>'Utilisation charting'!$I$27:$N$27</c:f>
              <c:numCache>
                <c:formatCode>0%</c:formatCode>
                <c:ptCount val="6"/>
                <c:pt idx="0">
                  <c:v>0.45136877317134649</c:v>
                </c:pt>
                <c:pt idx="1">
                  <c:v>0.43162557844641647</c:v>
                </c:pt>
                <c:pt idx="2">
                  <c:v>0.38593420098430842</c:v>
                </c:pt>
                <c:pt idx="3">
                  <c:v>0.38183897611809015</c:v>
                </c:pt>
                <c:pt idx="4">
                  <c:v>0.36807367580108263</c:v>
                </c:pt>
                <c:pt idx="5">
                  <c:v>0.38144490417761096</c:v>
                </c:pt>
              </c:numCache>
            </c:numRef>
          </c:yVal>
          <c:smooth val="0"/>
        </c:ser>
        <c:ser>
          <c:idx val="3"/>
          <c:order val="3"/>
          <c:tx>
            <c:v>VIC BC</c:v>
          </c:tx>
          <c:spPr>
            <a:ln>
              <a:solidFill>
                <a:schemeClr val="accent1"/>
              </a:solidFill>
              <a:prstDash val="dash"/>
              <a:headEnd type="none"/>
            </a:ln>
          </c:spPr>
          <c:marker>
            <c:symbol val="none"/>
          </c:marker>
          <c:xVal>
            <c:numRef>
              <c:f>'Utilisation charting'!$C$2:$I$2</c:f>
              <c:numCache>
                <c:formatCode>General</c:formatCode>
                <c:ptCount val="7"/>
                <c:pt idx="0">
                  <c:v>2000</c:v>
                </c:pt>
                <c:pt idx="1">
                  <c:v>2001</c:v>
                </c:pt>
                <c:pt idx="2">
                  <c:v>2002</c:v>
                </c:pt>
                <c:pt idx="3">
                  <c:v>2003</c:v>
                </c:pt>
                <c:pt idx="4">
                  <c:v>2004</c:v>
                </c:pt>
                <c:pt idx="5">
                  <c:v>2005</c:v>
                </c:pt>
                <c:pt idx="6">
                  <c:v>2006</c:v>
                </c:pt>
              </c:numCache>
            </c:numRef>
          </c:xVal>
          <c:yVal>
            <c:numRef>
              <c:f>'Utilisation charting'!$C$25:$I$25</c:f>
              <c:numCache>
                <c:formatCode>0%</c:formatCode>
                <c:ptCount val="7"/>
                <c:pt idx="0">
                  <c:v>0.5236427995978139</c:v>
                </c:pt>
                <c:pt idx="6">
                  <c:v>0.58409854358787161</c:v>
                </c:pt>
              </c:numCache>
            </c:numRef>
          </c:yVal>
          <c:smooth val="0"/>
        </c:ser>
        <c:ser>
          <c:idx val="4"/>
          <c:order val="4"/>
          <c:tx>
            <c:v>NSW BC</c:v>
          </c:tx>
          <c:spPr>
            <a:ln>
              <a:solidFill>
                <a:schemeClr val="accent2"/>
              </a:solidFill>
              <a:prstDash val="dash"/>
              <a:headEnd type="none"/>
            </a:ln>
          </c:spPr>
          <c:marker>
            <c:symbol val="none"/>
          </c:marker>
          <c:xVal>
            <c:numRef>
              <c:f>'Utilisation charting'!$C$2:$I$2</c:f>
              <c:numCache>
                <c:formatCode>General</c:formatCode>
                <c:ptCount val="7"/>
                <c:pt idx="0">
                  <c:v>2000</c:v>
                </c:pt>
                <c:pt idx="1">
                  <c:v>2001</c:v>
                </c:pt>
                <c:pt idx="2">
                  <c:v>2002</c:v>
                </c:pt>
                <c:pt idx="3">
                  <c:v>2003</c:v>
                </c:pt>
                <c:pt idx="4">
                  <c:v>2004</c:v>
                </c:pt>
                <c:pt idx="5">
                  <c:v>2005</c:v>
                </c:pt>
                <c:pt idx="6">
                  <c:v>2006</c:v>
                </c:pt>
              </c:numCache>
            </c:numRef>
          </c:xVal>
          <c:yVal>
            <c:numRef>
              <c:f>'Utilisation charting'!$C$26:$I$26</c:f>
              <c:numCache>
                <c:formatCode>0%</c:formatCode>
                <c:ptCount val="7"/>
                <c:pt idx="0">
                  <c:v>0.48408347052780887</c:v>
                </c:pt>
                <c:pt idx="6">
                  <c:v>0.4871777077039286</c:v>
                </c:pt>
              </c:numCache>
            </c:numRef>
          </c:yVal>
          <c:smooth val="0"/>
        </c:ser>
        <c:ser>
          <c:idx val="5"/>
          <c:order val="5"/>
          <c:tx>
            <c:v>QLD BC</c:v>
          </c:tx>
          <c:spPr>
            <a:ln>
              <a:solidFill>
                <a:schemeClr val="accent3"/>
              </a:solidFill>
              <a:prstDash val="dash"/>
              <a:headEnd type="none"/>
            </a:ln>
          </c:spPr>
          <c:marker>
            <c:symbol val="none"/>
          </c:marker>
          <c:xVal>
            <c:numRef>
              <c:f>'Utilisation charting'!$C$2:$I$2</c:f>
              <c:numCache>
                <c:formatCode>General</c:formatCode>
                <c:ptCount val="7"/>
                <c:pt idx="0">
                  <c:v>2000</c:v>
                </c:pt>
                <c:pt idx="1">
                  <c:v>2001</c:v>
                </c:pt>
                <c:pt idx="2">
                  <c:v>2002</c:v>
                </c:pt>
                <c:pt idx="3">
                  <c:v>2003</c:v>
                </c:pt>
                <c:pt idx="4">
                  <c:v>2004</c:v>
                </c:pt>
                <c:pt idx="5">
                  <c:v>2005</c:v>
                </c:pt>
                <c:pt idx="6">
                  <c:v>2006</c:v>
                </c:pt>
              </c:numCache>
            </c:numRef>
          </c:xVal>
          <c:yVal>
            <c:numRef>
              <c:f>'Utilisation charting'!$C$27:$I$27</c:f>
              <c:numCache>
                <c:formatCode>0%</c:formatCode>
                <c:ptCount val="7"/>
                <c:pt idx="0">
                  <c:v>0.49851903016352955</c:v>
                </c:pt>
                <c:pt idx="6">
                  <c:v>0.45136877317134649</c:v>
                </c:pt>
              </c:numCache>
            </c:numRef>
          </c:yVal>
          <c:smooth val="0"/>
        </c:ser>
        <c:dLbls>
          <c:showLegendKey val="0"/>
          <c:showVal val="0"/>
          <c:showCatName val="0"/>
          <c:showSerName val="0"/>
          <c:showPercent val="0"/>
          <c:showBubbleSize val="0"/>
        </c:dLbls>
        <c:axId val="140391552"/>
        <c:axId val="140393088"/>
      </c:scatterChart>
      <c:valAx>
        <c:axId val="140391552"/>
        <c:scaling>
          <c:orientation val="minMax"/>
          <c:max val="2011"/>
          <c:min val="2000"/>
        </c:scaling>
        <c:delete val="0"/>
        <c:axPos val="b"/>
        <c:numFmt formatCode="General" sourceLinked="1"/>
        <c:majorTickMark val="out"/>
        <c:minorTickMark val="none"/>
        <c:tickLblPos val="nextTo"/>
        <c:crossAx val="140393088"/>
        <c:crosses val="autoZero"/>
        <c:crossBetween val="midCat"/>
        <c:majorUnit val="1"/>
        <c:minorUnit val="1"/>
      </c:valAx>
      <c:valAx>
        <c:axId val="140393088"/>
        <c:scaling>
          <c:orientation val="minMax"/>
          <c:min val="0.3"/>
        </c:scaling>
        <c:delete val="0"/>
        <c:axPos val="l"/>
        <c:majorGridlines/>
        <c:title>
          <c:tx>
            <c:rich>
              <a:bodyPr rot="-5400000" vert="horz"/>
              <a:lstStyle/>
              <a:p>
                <a:pPr>
                  <a:defRPr/>
                </a:pPr>
                <a:r>
                  <a:rPr lang="en-US"/>
                  <a:t>Transformer utilisation (corrected)</a:t>
                </a:r>
              </a:p>
            </c:rich>
          </c:tx>
          <c:layout/>
          <c:overlay val="0"/>
        </c:title>
        <c:numFmt formatCode="0%" sourceLinked="1"/>
        <c:majorTickMark val="out"/>
        <c:minorTickMark val="none"/>
        <c:tickLblPos val="nextTo"/>
        <c:crossAx val="140391552"/>
        <c:crosses val="autoZero"/>
        <c:crossBetween val="midCat"/>
      </c:valAx>
    </c:plotArea>
    <c:legend>
      <c:legendPos val="r"/>
      <c:legendEntry>
        <c:idx val="3"/>
        <c:delete val="1"/>
      </c:legendEntry>
      <c:legendEntry>
        <c:idx val="4"/>
        <c:delete val="1"/>
      </c:legendEntry>
      <c:legendEntry>
        <c:idx val="5"/>
        <c:delete val="1"/>
      </c:legendEntry>
      <c:layout/>
      <c:overlay val="0"/>
    </c:legend>
    <c:plotVisOnly val="0"/>
    <c:dispBlanksAs val="span"/>
    <c:showDLblsOverMax val="0"/>
  </c:chart>
  <c:spPr>
    <a:ln>
      <a:no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v>Vic tie</c:v>
          </c:tx>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charting'!$I$9:$N$9</c:f>
              <c:numCache>
                <c:formatCode>0%</c:formatCode>
                <c:ptCount val="6"/>
                <c:pt idx="0">
                  <c:v>0.55832478764065685</c:v>
                </c:pt>
                <c:pt idx="1">
                  <c:v>0.66973456145526011</c:v>
                </c:pt>
                <c:pt idx="2">
                  <c:v>0.57311601571657367</c:v>
                </c:pt>
                <c:pt idx="3">
                  <c:v>0.5776247068845014</c:v>
                </c:pt>
                <c:pt idx="4">
                  <c:v>0.52320159258063037</c:v>
                </c:pt>
                <c:pt idx="5">
                  <c:v>0.53285393421756011</c:v>
                </c:pt>
              </c:numCache>
            </c:numRef>
          </c:val>
          <c:smooth val="0"/>
        </c:ser>
        <c:ser>
          <c:idx val="4"/>
          <c:order val="1"/>
          <c:tx>
            <c:v>VIC TS</c:v>
          </c:tx>
          <c:spPr>
            <a:ln>
              <a:solidFill>
                <a:schemeClr val="accent1"/>
              </a:solidFill>
              <a:prstDash val="dash"/>
            </a:ln>
          </c:spPr>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charting'!$I$13:$N$13</c:f>
              <c:numCache>
                <c:formatCode>0%</c:formatCode>
                <c:ptCount val="6"/>
                <c:pt idx="0">
                  <c:v>0.62595113945283598</c:v>
                </c:pt>
                <c:pt idx="1">
                  <c:v>0.65347612211714501</c:v>
                </c:pt>
                <c:pt idx="2">
                  <c:v>0.68087182830512838</c:v>
                </c:pt>
                <c:pt idx="3">
                  <c:v>0.71538473127919822</c:v>
                </c:pt>
                <c:pt idx="4">
                  <c:v>0.65153496437370717</c:v>
                </c:pt>
                <c:pt idx="5">
                  <c:v>0.59107586941309986</c:v>
                </c:pt>
              </c:numCache>
            </c:numRef>
          </c:val>
          <c:smooth val="0"/>
        </c:ser>
        <c:ser>
          <c:idx val="1"/>
          <c:order val="2"/>
          <c:tx>
            <c:v>NSW tie</c:v>
          </c:tx>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charting'!$I$10:$N$10</c:f>
              <c:numCache>
                <c:formatCode>0%</c:formatCode>
                <c:ptCount val="6"/>
                <c:pt idx="0">
                  <c:v>0.48226930072405444</c:v>
                </c:pt>
                <c:pt idx="1">
                  <c:v>0.49397815193967815</c:v>
                </c:pt>
                <c:pt idx="2">
                  <c:v>0.51713758574517299</c:v>
                </c:pt>
                <c:pt idx="3">
                  <c:v>0.4509501115928623</c:v>
                </c:pt>
                <c:pt idx="4">
                  <c:v>0.43378744283101334</c:v>
                </c:pt>
                <c:pt idx="5">
                  <c:v>0.44377191762129781</c:v>
                </c:pt>
              </c:numCache>
            </c:numRef>
          </c:val>
          <c:smooth val="0"/>
        </c:ser>
        <c:ser>
          <c:idx val="5"/>
          <c:order val="3"/>
          <c:tx>
            <c:v>NSW TS</c:v>
          </c:tx>
          <c:spPr>
            <a:ln>
              <a:solidFill>
                <a:schemeClr val="accent2"/>
              </a:solidFill>
              <a:prstDash val="dash"/>
            </a:ln>
          </c:spPr>
          <c:marker>
            <c:spPr>
              <a:solidFill>
                <a:schemeClr val="accent2"/>
              </a:solidFill>
              <a:ln>
                <a:solidFill>
                  <a:schemeClr val="accent2"/>
                </a:solidFill>
              </a:ln>
            </c:spPr>
          </c:marker>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charting'!$I$14:$N$14</c:f>
              <c:numCache>
                <c:formatCode>0%</c:formatCode>
                <c:ptCount val="6"/>
                <c:pt idx="0">
                  <c:v>0.36764608606606136</c:v>
                </c:pt>
                <c:pt idx="1">
                  <c:v>0.35220895204287234</c:v>
                </c:pt>
                <c:pt idx="2">
                  <c:v>0.36600372324597452</c:v>
                </c:pt>
                <c:pt idx="3">
                  <c:v>0.31879974202592221</c:v>
                </c:pt>
                <c:pt idx="4">
                  <c:v>0.22223468883858222</c:v>
                </c:pt>
                <c:pt idx="5">
                  <c:v>8.8970168804900357E-2</c:v>
                </c:pt>
              </c:numCache>
            </c:numRef>
          </c:val>
          <c:smooth val="0"/>
        </c:ser>
        <c:ser>
          <c:idx val="8"/>
          <c:order val="4"/>
          <c:tx>
            <c:v>QLD tie</c:v>
          </c:tx>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charting'!$I$11:$N$11</c:f>
              <c:numCache>
                <c:formatCode>0%</c:formatCode>
                <c:ptCount val="6"/>
                <c:pt idx="0">
                  <c:v>0.45136877317134649</c:v>
                </c:pt>
                <c:pt idx="1">
                  <c:v>0.43162557844641647</c:v>
                </c:pt>
                <c:pt idx="2">
                  <c:v>0.38593420098430842</c:v>
                </c:pt>
                <c:pt idx="3">
                  <c:v>0.38183897611809015</c:v>
                </c:pt>
                <c:pt idx="4">
                  <c:v>0.36807367580108263</c:v>
                </c:pt>
                <c:pt idx="5">
                  <c:v>0.38144490417761096</c:v>
                </c:pt>
              </c:numCache>
            </c:numRef>
          </c:val>
          <c:smooth val="0"/>
        </c:ser>
        <c:ser>
          <c:idx val="11"/>
          <c:order val="5"/>
          <c:tx>
            <c:v>QLD TS</c:v>
          </c:tx>
          <c:spPr>
            <a:ln>
              <a:solidFill>
                <a:schemeClr val="accent3"/>
              </a:solidFill>
              <a:prstDash val="dash"/>
            </a:ln>
          </c:spPr>
          <c:marker>
            <c:spPr>
              <a:solidFill>
                <a:schemeClr val="accent3"/>
              </a:solidFill>
              <a:ln>
                <a:solidFill>
                  <a:schemeClr val="accent3"/>
                </a:solidFill>
              </a:ln>
            </c:spPr>
          </c:marker>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charting'!$I$15:$N$15</c:f>
              <c:numCache>
                <c:formatCode>0%</c:formatCode>
                <c:ptCount val="6"/>
                <c:pt idx="0">
                  <c:v>0.43800759958296298</c:v>
                </c:pt>
                <c:pt idx="1">
                  <c:v>0.42240031546389639</c:v>
                </c:pt>
                <c:pt idx="2">
                  <c:v>0.3417341957718541</c:v>
                </c:pt>
                <c:pt idx="3">
                  <c:v>0.34474022502535062</c:v>
                </c:pt>
                <c:pt idx="4">
                  <c:v>0.34475140589252318</c:v>
                </c:pt>
                <c:pt idx="5">
                  <c:v>0.33016854142095137</c:v>
                </c:pt>
              </c:numCache>
            </c:numRef>
          </c:val>
          <c:smooth val="0"/>
        </c:ser>
        <c:dLbls>
          <c:showLegendKey val="0"/>
          <c:showVal val="0"/>
          <c:showCatName val="0"/>
          <c:showSerName val="0"/>
          <c:showPercent val="0"/>
          <c:showBubbleSize val="0"/>
        </c:dLbls>
        <c:marker val="1"/>
        <c:smooth val="0"/>
        <c:axId val="140422528"/>
        <c:axId val="140424704"/>
      </c:lineChart>
      <c:catAx>
        <c:axId val="140422528"/>
        <c:scaling>
          <c:orientation val="minMax"/>
        </c:scaling>
        <c:delete val="0"/>
        <c:axPos val="b"/>
        <c:numFmt formatCode="General" sourceLinked="1"/>
        <c:majorTickMark val="out"/>
        <c:minorTickMark val="none"/>
        <c:tickLblPos val="nextTo"/>
        <c:crossAx val="140424704"/>
        <c:crosses val="autoZero"/>
        <c:auto val="1"/>
        <c:lblAlgn val="ctr"/>
        <c:lblOffset val="100"/>
        <c:noMultiLvlLbl val="0"/>
      </c:catAx>
      <c:valAx>
        <c:axId val="140424704"/>
        <c:scaling>
          <c:orientation val="minMax"/>
        </c:scaling>
        <c:delete val="0"/>
        <c:axPos val="l"/>
        <c:majorGridlines/>
        <c:title>
          <c:tx>
            <c:rich>
              <a:bodyPr rot="-5400000" vert="horz"/>
              <a:lstStyle/>
              <a:p>
                <a:pPr>
                  <a:defRPr/>
                </a:pPr>
                <a:r>
                  <a:rPr lang="en-US"/>
                  <a:t>Transformer utilisation</a:t>
                </a:r>
              </a:p>
            </c:rich>
          </c:tx>
          <c:layout/>
          <c:overlay val="0"/>
        </c:title>
        <c:numFmt formatCode="0%" sourceLinked="1"/>
        <c:majorTickMark val="out"/>
        <c:minorTickMark val="none"/>
        <c:tickLblPos val="nextTo"/>
        <c:crossAx val="140422528"/>
        <c:crosses val="autoZero"/>
        <c:crossBetween val="between"/>
      </c:valAx>
    </c:plotArea>
    <c:legend>
      <c:legendPos val="r"/>
      <c:layout/>
      <c:overlay val="0"/>
    </c:legend>
    <c:plotVisOnly val="0"/>
    <c:dispBlanksAs val="gap"/>
    <c:showDLblsOverMax val="0"/>
  </c:chart>
  <c:spPr>
    <a:ln>
      <a:noFill/>
    </a:ln>
  </c:sp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scatterChart>
        <c:scatterStyle val="lineMarker"/>
        <c:varyColors val="0"/>
        <c:ser>
          <c:idx val="0"/>
          <c:order val="0"/>
          <c:tx>
            <c:strRef>
              <c:f>'Utilisation charting'!$B$29</c:f>
              <c:strCache>
                <c:ptCount val="1"/>
                <c:pt idx="0">
                  <c:v>VIC</c:v>
                </c:pt>
              </c:strCache>
            </c:strRef>
          </c:tx>
          <c:xVal>
            <c:numRef>
              <c:f>'Utilisation charting'!$I$2:$N$2</c:f>
              <c:numCache>
                <c:formatCode>General</c:formatCode>
                <c:ptCount val="6"/>
                <c:pt idx="0">
                  <c:v>2006</c:v>
                </c:pt>
                <c:pt idx="1">
                  <c:v>2007</c:v>
                </c:pt>
                <c:pt idx="2">
                  <c:v>2008</c:v>
                </c:pt>
                <c:pt idx="3">
                  <c:v>2009</c:v>
                </c:pt>
                <c:pt idx="4">
                  <c:v>2010</c:v>
                </c:pt>
                <c:pt idx="5">
                  <c:v>2011</c:v>
                </c:pt>
              </c:numCache>
            </c:numRef>
          </c:xVal>
          <c:yVal>
            <c:numRef>
              <c:f>'Utilisation charting'!$I$29:$N$29</c:f>
              <c:numCache>
                <c:formatCode>0%</c:formatCode>
                <c:ptCount val="6"/>
                <c:pt idx="0">
                  <c:v>0.33261563614571921</c:v>
                </c:pt>
                <c:pt idx="1">
                  <c:v>0.35966549229971601</c:v>
                </c:pt>
                <c:pt idx="2">
                  <c:v>0.37798288487576787</c:v>
                </c:pt>
                <c:pt idx="3">
                  <c:v>0.36923992654261273</c:v>
                </c:pt>
                <c:pt idx="4">
                  <c:v>0.34437951737351669</c:v>
                </c:pt>
                <c:pt idx="5">
                  <c:v>0.33556567161142453</c:v>
                </c:pt>
              </c:numCache>
            </c:numRef>
          </c:yVal>
          <c:smooth val="0"/>
        </c:ser>
        <c:ser>
          <c:idx val="1"/>
          <c:order val="1"/>
          <c:tx>
            <c:strRef>
              <c:f>'Utilisation charting'!$B$30</c:f>
              <c:strCache>
                <c:ptCount val="1"/>
                <c:pt idx="0">
                  <c:v>NSW</c:v>
                </c:pt>
              </c:strCache>
            </c:strRef>
          </c:tx>
          <c:xVal>
            <c:numRef>
              <c:f>'Utilisation charting'!$I$2:$N$2</c:f>
              <c:numCache>
                <c:formatCode>General</c:formatCode>
                <c:ptCount val="6"/>
                <c:pt idx="0">
                  <c:v>2006</c:v>
                </c:pt>
                <c:pt idx="1">
                  <c:v>2007</c:v>
                </c:pt>
                <c:pt idx="2">
                  <c:v>2008</c:v>
                </c:pt>
                <c:pt idx="3">
                  <c:v>2009</c:v>
                </c:pt>
                <c:pt idx="4">
                  <c:v>2010</c:v>
                </c:pt>
                <c:pt idx="5">
                  <c:v>2011</c:v>
                </c:pt>
              </c:numCache>
            </c:numRef>
          </c:xVal>
          <c:yVal>
            <c:numRef>
              <c:f>'Utilisation charting'!$I$30:$N$30</c:f>
              <c:numCache>
                <c:formatCode>0%</c:formatCode>
                <c:ptCount val="6"/>
                <c:pt idx="0">
                  <c:v>0.37927072102757264</c:v>
                </c:pt>
                <c:pt idx="1">
                  <c:v>0.30619422004680963</c:v>
                </c:pt>
                <c:pt idx="2">
                  <c:v>0.33149057800761744</c:v>
                </c:pt>
                <c:pt idx="3">
                  <c:v>0.33444484594740537</c:v>
                </c:pt>
                <c:pt idx="4">
                  <c:v>0.28279315835331581</c:v>
                </c:pt>
                <c:pt idx="5">
                  <c:v>0.30741096061057649</c:v>
                </c:pt>
              </c:numCache>
            </c:numRef>
          </c:yVal>
          <c:smooth val="0"/>
        </c:ser>
        <c:ser>
          <c:idx val="2"/>
          <c:order val="2"/>
          <c:tx>
            <c:strRef>
              <c:f>'Utilisation charting'!$B$31</c:f>
              <c:strCache>
                <c:ptCount val="1"/>
                <c:pt idx="0">
                  <c:v>QLD</c:v>
                </c:pt>
              </c:strCache>
            </c:strRef>
          </c:tx>
          <c:xVal>
            <c:numRef>
              <c:f>'Utilisation charting'!$I$2:$N$2</c:f>
              <c:numCache>
                <c:formatCode>General</c:formatCode>
                <c:ptCount val="6"/>
                <c:pt idx="0">
                  <c:v>2006</c:v>
                </c:pt>
                <c:pt idx="1">
                  <c:v>2007</c:v>
                </c:pt>
                <c:pt idx="2">
                  <c:v>2008</c:v>
                </c:pt>
                <c:pt idx="3">
                  <c:v>2009</c:v>
                </c:pt>
                <c:pt idx="4">
                  <c:v>2010</c:v>
                </c:pt>
                <c:pt idx="5">
                  <c:v>2011</c:v>
                </c:pt>
              </c:numCache>
            </c:numRef>
          </c:xVal>
          <c:yVal>
            <c:numRef>
              <c:f>'Utilisation charting'!$I$31:$N$31</c:f>
              <c:numCache>
                <c:formatCode>0%</c:formatCode>
                <c:ptCount val="6"/>
                <c:pt idx="0">
                  <c:v>0.36575623184515316</c:v>
                </c:pt>
                <c:pt idx="1">
                  <c:v>0.35498737025770716</c:v>
                </c:pt>
                <c:pt idx="2">
                  <c:v>0.28079739380506263</c:v>
                </c:pt>
                <c:pt idx="3">
                  <c:v>0.2824545347274266</c:v>
                </c:pt>
                <c:pt idx="4">
                  <c:v>0.2855765245400021</c:v>
                </c:pt>
                <c:pt idx="5">
                  <c:v>0.27150125497270294</c:v>
                </c:pt>
              </c:numCache>
            </c:numRef>
          </c:yVal>
          <c:smooth val="0"/>
        </c:ser>
        <c:ser>
          <c:idx val="3"/>
          <c:order val="3"/>
          <c:tx>
            <c:v>VIC BC</c:v>
          </c:tx>
          <c:spPr>
            <a:ln>
              <a:solidFill>
                <a:schemeClr val="accent1"/>
              </a:solidFill>
              <a:prstDash val="dash"/>
              <a:headEnd type="none"/>
            </a:ln>
          </c:spPr>
          <c:marker>
            <c:symbol val="none"/>
          </c:marker>
          <c:xVal>
            <c:numRef>
              <c:f>'Utilisation charting'!$C$2:$I$2</c:f>
              <c:numCache>
                <c:formatCode>General</c:formatCode>
                <c:ptCount val="7"/>
                <c:pt idx="0">
                  <c:v>2000</c:v>
                </c:pt>
                <c:pt idx="1">
                  <c:v>2001</c:v>
                </c:pt>
                <c:pt idx="2">
                  <c:v>2002</c:v>
                </c:pt>
                <c:pt idx="3">
                  <c:v>2003</c:v>
                </c:pt>
                <c:pt idx="4">
                  <c:v>2004</c:v>
                </c:pt>
                <c:pt idx="5">
                  <c:v>2005</c:v>
                </c:pt>
                <c:pt idx="6">
                  <c:v>2006</c:v>
                </c:pt>
              </c:numCache>
            </c:numRef>
          </c:xVal>
          <c:yVal>
            <c:numRef>
              <c:f>'Utilisation charting'!$C$29:$I$29</c:f>
              <c:numCache>
                <c:formatCode>0%</c:formatCode>
                <c:ptCount val="7"/>
                <c:pt idx="0">
                  <c:v>0.26353184726204038</c:v>
                </c:pt>
                <c:pt idx="6">
                  <c:v>0.33261563614571921</c:v>
                </c:pt>
              </c:numCache>
            </c:numRef>
          </c:yVal>
          <c:smooth val="0"/>
        </c:ser>
        <c:ser>
          <c:idx val="4"/>
          <c:order val="4"/>
          <c:tx>
            <c:v>NSW BC</c:v>
          </c:tx>
          <c:spPr>
            <a:ln>
              <a:solidFill>
                <a:schemeClr val="accent2"/>
              </a:solidFill>
              <a:prstDash val="dash"/>
              <a:headEnd type="none"/>
            </a:ln>
          </c:spPr>
          <c:marker>
            <c:symbol val="none"/>
          </c:marker>
          <c:xVal>
            <c:numRef>
              <c:f>'Utilisation charting'!$C$2:$I$2</c:f>
              <c:numCache>
                <c:formatCode>General</c:formatCode>
                <c:ptCount val="7"/>
                <c:pt idx="0">
                  <c:v>2000</c:v>
                </c:pt>
                <c:pt idx="1">
                  <c:v>2001</c:v>
                </c:pt>
                <c:pt idx="2">
                  <c:v>2002</c:v>
                </c:pt>
                <c:pt idx="3">
                  <c:v>2003</c:v>
                </c:pt>
                <c:pt idx="4">
                  <c:v>2004</c:v>
                </c:pt>
                <c:pt idx="5">
                  <c:v>2005</c:v>
                </c:pt>
                <c:pt idx="6">
                  <c:v>2006</c:v>
                </c:pt>
              </c:numCache>
            </c:numRef>
          </c:xVal>
          <c:yVal>
            <c:numRef>
              <c:f>'Utilisation charting'!$C$30:$I$30</c:f>
              <c:numCache>
                <c:formatCode>0%</c:formatCode>
                <c:ptCount val="7"/>
                <c:pt idx="0">
                  <c:v>0.34457706287080037</c:v>
                </c:pt>
                <c:pt idx="6">
                  <c:v>0.37927072102757264</c:v>
                </c:pt>
              </c:numCache>
            </c:numRef>
          </c:yVal>
          <c:smooth val="0"/>
        </c:ser>
        <c:ser>
          <c:idx val="5"/>
          <c:order val="5"/>
          <c:tx>
            <c:v>QLD BC</c:v>
          </c:tx>
          <c:spPr>
            <a:ln>
              <a:solidFill>
                <a:schemeClr val="accent3"/>
              </a:solidFill>
              <a:prstDash val="dash"/>
              <a:headEnd type="none"/>
            </a:ln>
          </c:spPr>
          <c:marker>
            <c:symbol val="none"/>
          </c:marker>
          <c:xVal>
            <c:numRef>
              <c:f>'Utilisation charting'!$C$2:$I$2</c:f>
              <c:numCache>
                <c:formatCode>General</c:formatCode>
                <c:ptCount val="7"/>
                <c:pt idx="0">
                  <c:v>2000</c:v>
                </c:pt>
                <c:pt idx="1">
                  <c:v>2001</c:v>
                </c:pt>
                <c:pt idx="2">
                  <c:v>2002</c:v>
                </c:pt>
                <c:pt idx="3">
                  <c:v>2003</c:v>
                </c:pt>
                <c:pt idx="4">
                  <c:v>2004</c:v>
                </c:pt>
                <c:pt idx="5">
                  <c:v>2005</c:v>
                </c:pt>
                <c:pt idx="6">
                  <c:v>2006</c:v>
                </c:pt>
              </c:numCache>
            </c:numRef>
          </c:xVal>
          <c:yVal>
            <c:numRef>
              <c:f>'Utilisation charting'!$C$31:$I$31</c:f>
              <c:numCache>
                <c:formatCode>0%</c:formatCode>
                <c:ptCount val="7"/>
                <c:pt idx="0">
                  <c:v>0.30600848225107685</c:v>
                </c:pt>
                <c:pt idx="6">
                  <c:v>0.36575623184515316</c:v>
                </c:pt>
              </c:numCache>
            </c:numRef>
          </c:yVal>
          <c:smooth val="0"/>
        </c:ser>
        <c:dLbls>
          <c:showLegendKey val="0"/>
          <c:showVal val="0"/>
          <c:showCatName val="0"/>
          <c:showSerName val="0"/>
          <c:showPercent val="0"/>
          <c:showBubbleSize val="0"/>
        </c:dLbls>
        <c:axId val="140462336"/>
        <c:axId val="140468224"/>
      </c:scatterChart>
      <c:valAx>
        <c:axId val="140462336"/>
        <c:scaling>
          <c:orientation val="minMax"/>
          <c:max val="2011"/>
          <c:min val="2000"/>
        </c:scaling>
        <c:delete val="0"/>
        <c:axPos val="b"/>
        <c:numFmt formatCode="General" sourceLinked="1"/>
        <c:majorTickMark val="out"/>
        <c:minorTickMark val="none"/>
        <c:tickLblPos val="nextTo"/>
        <c:crossAx val="140468224"/>
        <c:crosses val="autoZero"/>
        <c:crossBetween val="midCat"/>
        <c:majorUnit val="1"/>
        <c:minorUnit val="1"/>
      </c:valAx>
      <c:valAx>
        <c:axId val="140468224"/>
        <c:scaling>
          <c:orientation val="minMax"/>
          <c:min val="0.2"/>
        </c:scaling>
        <c:delete val="0"/>
        <c:axPos val="l"/>
        <c:majorGridlines/>
        <c:title>
          <c:tx>
            <c:rich>
              <a:bodyPr rot="-5400000" vert="horz"/>
              <a:lstStyle/>
              <a:p>
                <a:pPr>
                  <a:defRPr/>
                </a:pPr>
                <a:r>
                  <a:rPr lang="en-US"/>
                  <a:t>Line</a:t>
                </a:r>
                <a:r>
                  <a:rPr lang="en-US" baseline="0"/>
                  <a:t> </a:t>
                </a:r>
                <a:r>
                  <a:rPr lang="en-US"/>
                  <a:t>utilisation (corrected)</a:t>
                </a:r>
              </a:p>
            </c:rich>
          </c:tx>
          <c:layout/>
          <c:overlay val="0"/>
        </c:title>
        <c:numFmt formatCode="0%" sourceLinked="1"/>
        <c:majorTickMark val="out"/>
        <c:minorTickMark val="none"/>
        <c:tickLblPos val="nextTo"/>
        <c:crossAx val="140462336"/>
        <c:crosses val="autoZero"/>
        <c:crossBetween val="midCat"/>
        <c:majorUnit val="0.05"/>
      </c:valAx>
    </c:plotArea>
    <c:legend>
      <c:legendPos val="r"/>
      <c:legendEntry>
        <c:idx val="3"/>
        <c:delete val="1"/>
      </c:legendEntry>
      <c:legendEntry>
        <c:idx val="4"/>
        <c:delete val="1"/>
      </c:legendEntry>
      <c:legendEntry>
        <c:idx val="5"/>
        <c:delete val="1"/>
      </c:legendEntry>
      <c:layout/>
      <c:overlay val="0"/>
    </c:legend>
    <c:plotVisOnly val="0"/>
    <c:dispBlanksAs val="span"/>
    <c:showDLblsOverMax val="0"/>
  </c:chart>
  <c:spPr>
    <a:ln>
      <a:noFill/>
    </a:ln>
  </c:sp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v>Vic actual</c:v>
          </c:tx>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charting'!$I$9:$N$9</c:f>
              <c:numCache>
                <c:formatCode>0%</c:formatCode>
                <c:ptCount val="6"/>
                <c:pt idx="0">
                  <c:v>0.55832478764065685</c:v>
                </c:pt>
                <c:pt idx="1">
                  <c:v>0.66973456145526011</c:v>
                </c:pt>
                <c:pt idx="2">
                  <c:v>0.57311601571657367</c:v>
                </c:pt>
                <c:pt idx="3">
                  <c:v>0.5776247068845014</c:v>
                </c:pt>
                <c:pt idx="4">
                  <c:v>0.52320159258063037</c:v>
                </c:pt>
                <c:pt idx="5">
                  <c:v>0.53285393421756011</c:v>
                </c:pt>
              </c:numCache>
            </c:numRef>
          </c:val>
          <c:smooth val="0"/>
        </c:ser>
        <c:ser>
          <c:idx val="4"/>
          <c:order val="1"/>
          <c:tx>
            <c:v>VIC corrected</c:v>
          </c:tx>
          <c:spPr>
            <a:ln>
              <a:solidFill>
                <a:schemeClr val="accent1"/>
              </a:solidFill>
              <a:prstDash val="dash"/>
            </a:ln>
          </c:spPr>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charting'!$I$25:$N$25</c:f>
              <c:numCache>
                <c:formatCode>0%</c:formatCode>
                <c:ptCount val="6"/>
                <c:pt idx="0">
                  <c:v>0.58409854358787161</c:v>
                </c:pt>
                <c:pt idx="1">
                  <c:v>0.68701746640614758</c:v>
                </c:pt>
                <c:pt idx="2">
                  <c:v>0.56278856603092509</c:v>
                </c:pt>
                <c:pt idx="3">
                  <c:v>0.53089903858906173</c:v>
                </c:pt>
                <c:pt idx="4">
                  <c:v>0.49613832071046815</c:v>
                </c:pt>
                <c:pt idx="5">
                  <c:v>0.53380734930352713</c:v>
                </c:pt>
              </c:numCache>
            </c:numRef>
          </c:val>
          <c:smooth val="0"/>
        </c:ser>
        <c:ser>
          <c:idx val="1"/>
          <c:order val="2"/>
          <c:tx>
            <c:v>NSW actual</c:v>
          </c:tx>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charting'!$I$10:$N$10</c:f>
              <c:numCache>
                <c:formatCode>0%</c:formatCode>
                <c:ptCount val="6"/>
                <c:pt idx="0">
                  <c:v>0.48226930072405444</c:v>
                </c:pt>
                <c:pt idx="1">
                  <c:v>0.49397815193967815</c:v>
                </c:pt>
                <c:pt idx="2">
                  <c:v>0.51713758574517299</c:v>
                </c:pt>
                <c:pt idx="3">
                  <c:v>0.4509501115928623</c:v>
                </c:pt>
                <c:pt idx="4">
                  <c:v>0.43378744283101334</c:v>
                </c:pt>
                <c:pt idx="5">
                  <c:v>0.44377191762129781</c:v>
                </c:pt>
              </c:numCache>
            </c:numRef>
          </c:val>
          <c:smooth val="0"/>
        </c:ser>
        <c:ser>
          <c:idx val="5"/>
          <c:order val="3"/>
          <c:tx>
            <c:v>NSW corrected</c:v>
          </c:tx>
          <c:spPr>
            <a:ln>
              <a:solidFill>
                <a:schemeClr val="accent2"/>
              </a:solidFill>
              <a:prstDash val="dash"/>
            </a:ln>
          </c:spPr>
          <c:marker>
            <c:spPr>
              <a:solidFill>
                <a:schemeClr val="accent2"/>
              </a:solidFill>
              <a:ln>
                <a:solidFill>
                  <a:schemeClr val="accent2"/>
                </a:solidFill>
              </a:ln>
            </c:spPr>
          </c:marker>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charting'!$I$26:$N$26</c:f>
              <c:numCache>
                <c:formatCode>0%</c:formatCode>
                <c:ptCount val="6"/>
                <c:pt idx="0">
                  <c:v>0.4871777077039286</c:v>
                </c:pt>
                <c:pt idx="1">
                  <c:v>0.46978258282429169</c:v>
                </c:pt>
                <c:pt idx="2">
                  <c:v>0.49206729578475278</c:v>
                </c:pt>
                <c:pt idx="3">
                  <c:v>0.4418913391404824</c:v>
                </c:pt>
                <c:pt idx="4">
                  <c:v>0.43201586697363942</c:v>
                </c:pt>
                <c:pt idx="5">
                  <c:v>0.42221214834414972</c:v>
                </c:pt>
              </c:numCache>
            </c:numRef>
          </c:val>
          <c:smooth val="0"/>
        </c:ser>
        <c:ser>
          <c:idx val="8"/>
          <c:order val="4"/>
          <c:tx>
            <c:v>QLD actual</c:v>
          </c:tx>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charting'!$I$11:$N$11</c:f>
              <c:numCache>
                <c:formatCode>0%</c:formatCode>
                <c:ptCount val="6"/>
                <c:pt idx="0">
                  <c:v>0.45136877317134649</c:v>
                </c:pt>
                <c:pt idx="1">
                  <c:v>0.43162557844641647</c:v>
                </c:pt>
                <c:pt idx="2">
                  <c:v>0.38593420098430842</c:v>
                </c:pt>
                <c:pt idx="3">
                  <c:v>0.38183897611809015</c:v>
                </c:pt>
                <c:pt idx="4">
                  <c:v>0.36807367580108263</c:v>
                </c:pt>
                <c:pt idx="5">
                  <c:v>0.38144490417761096</c:v>
                </c:pt>
              </c:numCache>
            </c:numRef>
          </c:val>
          <c:smooth val="0"/>
        </c:ser>
        <c:ser>
          <c:idx val="11"/>
          <c:order val="5"/>
          <c:tx>
            <c:v>QLD corrected</c:v>
          </c:tx>
          <c:spPr>
            <a:ln>
              <a:solidFill>
                <a:schemeClr val="accent3"/>
              </a:solidFill>
              <a:prstDash val="dash"/>
            </a:ln>
          </c:spPr>
          <c:marker>
            <c:spPr>
              <a:solidFill>
                <a:schemeClr val="accent3"/>
              </a:solidFill>
              <a:ln>
                <a:solidFill>
                  <a:schemeClr val="accent3"/>
                </a:solidFill>
              </a:ln>
            </c:spPr>
          </c:marker>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charting'!$I$27:$N$27</c:f>
              <c:numCache>
                <c:formatCode>0%</c:formatCode>
                <c:ptCount val="6"/>
                <c:pt idx="0">
                  <c:v>0.45136877317134649</c:v>
                </c:pt>
                <c:pt idx="1">
                  <c:v>0.43162557844641647</c:v>
                </c:pt>
                <c:pt idx="2">
                  <c:v>0.38593420098430842</c:v>
                </c:pt>
                <c:pt idx="3">
                  <c:v>0.38183897611809015</c:v>
                </c:pt>
                <c:pt idx="4">
                  <c:v>0.36807367580108263</c:v>
                </c:pt>
                <c:pt idx="5">
                  <c:v>0.38144490417761096</c:v>
                </c:pt>
              </c:numCache>
            </c:numRef>
          </c:val>
          <c:smooth val="0"/>
        </c:ser>
        <c:dLbls>
          <c:showLegendKey val="0"/>
          <c:showVal val="0"/>
          <c:showCatName val="0"/>
          <c:showSerName val="0"/>
          <c:showPercent val="0"/>
          <c:showBubbleSize val="0"/>
        </c:dLbls>
        <c:marker val="1"/>
        <c:smooth val="0"/>
        <c:axId val="140501376"/>
        <c:axId val="140503296"/>
      </c:lineChart>
      <c:catAx>
        <c:axId val="140501376"/>
        <c:scaling>
          <c:orientation val="minMax"/>
        </c:scaling>
        <c:delete val="0"/>
        <c:axPos val="b"/>
        <c:numFmt formatCode="General" sourceLinked="1"/>
        <c:majorTickMark val="out"/>
        <c:minorTickMark val="none"/>
        <c:tickLblPos val="nextTo"/>
        <c:crossAx val="140503296"/>
        <c:crosses val="autoZero"/>
        <c:auto val="1"/>
        <c:lblAlgn val="ctr"/>
        <c:lblOffset val="100"/>
        <c:noMultiLvlLbl val="0"/>
      </c:catAx>
      <c:valAx>
        <c:axId val="140503296"/>
        <c:scaling>
          <c:orientation val="minMax"/>
          <c:min val="0.3"/>
        </c:scaling>
        <c:delete val="0"/>
        <c:axPos val="l"/>
        <c:majorGridlines/>
        <c:title>
          <c:tx>
            <c:rich>
              <a:bodyPr rot="-5400000" vert="horz"/>
              <a:lstStyle/>
              <a:p>
                <a:pPr>
                  <a:defRPr/>
                </a:pPr>
                <a:r>
                  <a:rPr lang="en-US"/>
                  <a:t>Transformer utilisation</a:t>
                </a:r>
              </a:p>
            </c:rich>
          </c:tx>
          <c:layout/>
          <c:overlay val="0"/>
        </c:title>
        <c:numFmt formatCode="0%" sourceLinked="1"/>
        <c:majorTickMark val="out"/>
        <c:minorTickMark val="none"/>
        <c:tickLblPos val="nextTo"/>
        <c:crossAx val="140501376"/>
        <c:crosses val="autoZero"/>
        <c:crossBetween val="between"/>
      </c:valAx>
    </c:plotArea>
    <c:legend>
      <c:legendPos val="r"/>
      <c:layout/>
      <c:overlay val="0"/>
    </c:legend>
    <c:plotVisOnly val="0"/>
    <c:dispBlanksAs val="gap"/>
    <c:showDLblsOverMax val="0"/>
  </c:chart>
  <c:spPr>
    <a:ln>
      <a:noFill/>
    </a:ln>
  </c:sp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v>Vic actual</c:v>
          </c:tx>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charting'!$I$18:$N$18</c:f>
              <c:numCache>
                <c:formatCode>0%</c:formatCode>
                <c:ptCount val="6"/>
                <c:pt idx="0">
                  <c:v>0.27380586225752107</c:v>
                </c:pt>
                <c:pt idx="1">
                  <c:v>0.31859880476708113</c:v>
                </c:pt>
                <c:pt idx="2">
                  <c:v>0.33809835212515682</c:v>
                </c:pt>
                <c:pt idx="3">
                  <c:v>0.38489103734173313</c:v>
                </c:pt>
                <c:pt idx="4">
                  <c:v>0.34079536215766537</c:v>
                </c:pt>
                <c:pt idx="5">
                  <c:v>0.29647195076046001</c:v>
                </c:pt>
              </c:numCache>
            </c:numRef>
          </c:val>
          <c:smooth val="0"/>
        </c:ser>
        <c:ser>
          <c:idx val="4"/>
          <c:order val="1"/>
          <c:tx>
            <c:v>VIC corrected</c:v>
          </c:tx>
          <c:spPr>
            <a:ln>
              <a:solidFill>
                <a:schemeClr val="accent1"/>
              </a:solidFill>
              <a:prstDash val="dash"/>
            </a:ln>
          </c:spPr>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charting'!$I$29:$N$29</c:f>
              <c:numCache>
                <c:formatCode>0%</c:formatCode>
                <c:ptCount val="6"/>
                <c:pt idx="0">
                  <c:v>0.33261563614571921</c:v>
                </c:pt>
                <c:pt idx="1">
                  <c:v>0.35966549229971601</c:v>
                </c:pt>
                <c:pt idx="2">
                  <c:v>0.37798288487576787</c:v>
                </c:pt>
                <c:pt idx="3">
                  <c:v>0.36923992654261273</c:v>
                </c:pt>
                <c:pt idx="4">
                  <c:v>0.34437951737351669</c:v>
                </c:pt>
                <c:pt idx="5">
                  <c:v>0.33556567161142453</c:v>
                </c:pt>
              </c:numCache>
            </c:numRef>
          </c:val>
          <c:smooth val="0"/>
        </c:ser>
        <c:ser>
          <c:idx val="1"/>
          <c:order val="2"/>
          <c:tx>
            <c:v>NSW actual</c:v>
          </c:tx>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charting'!$I$19:$N$19</c:f>
              <c:numCache>
                <c:formatCode>0%</c:formatCode>
                <c:ptCount val="6"/>
                <c:pt idx="0">
                  <c:v>0.37544949722173093</c:v>
                </c:pt>
                <c:pt idx="1">
                  <c:v>0.32196437348531071</c:v>
                </c:pt>
                <c:pt idx="2">
                  <c:v>0.34837966001121723</c:v>
                </c:pt>
                <c:pt idx="3">
                  <c:v>0.34130096528932719</c:v>
                </c:pt>
                <c:pt idx="4">
                  <c:v>0.28395281375087977</c:v>
                </c:pt>
                <c:pt idx="5">
                  <c:v>0.32310854157792507</c:v>
                </c:pt>
              </c:numCache>
            </c:numRef>
          </c:val>
          <c:smooth val="0"/>
        </c:ser>
        <c:ser>
          <c:idx val="5"/>
          <c:order val="3"/>
          <c:tx>
            <c:v>NSW corrected</c:v>
          </c:tx>
          <c:spPr>
            <a:ln>
              <a:solidFill>
                <a:schemeClr val="accent2"/>
              </a:solidFill>
              <a:prstDash val="dash"/>
            </a:ln>
          </c:spPr>
          <c:marker>
            <c:spPr>
              <a:solidFill>
                <a:schemeClr val="accent2"/>
              </a:solidFill>
              <a:ln>
                <a:solidFill>
                  <a:schemeClr val="accent2"/>
                </a:solidFill>
              </a:ln>
            </c:spPr>
          </c:marker>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charting'!$I$30:$N$30</c:f>
              <c:numCache>
                <c:formatCode>0%</c:formatCode>
                <c:ptCount val="6"/>
                <c:pt idx="0">
                  <c:v>0.37927072102757264</c:v>
                </c:pt>
                <c:pt idx="1">
                  <c:v>0.30619422004680963</c:v>
                </c:pt>
                <c:pt idx="2">
                  <c:v>0.33149057800761744</c:v>
                </c:pt>
                <c:pt idx="3">
                  <c:v>0.33444484594740537</c:v>
                </c:pt>
                <c:pt idx="4">
                  <c:v>0.28279315835331581</c:v>
                </c:pt>
                <c:pt idx="5">
                  <c:v>0.30741096061057649</c:v>
                </c:pt>
              </c:numCache>
            </c:numRef>
          </c:val>
          <c:smooth val="0"/>
        </c:ser>
        <c:ser>
          <c:idx val="8"/>
          <c:order val="4"/>
          <c:tx>
            <c:v>QLD actual</c:v>
          </c:tx>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charting'!$I$20:$N$20</c:f>
              <c:numCache>
                <c:formatCode>0%</c:formatCode>
                <c:ptCount val="6"/>
                <c:pt idx="0">
                  <c:v>0.36575623184515316</c:v>
                </c:pt>
                <c:pt idx="1">
                  <c:v>0.35498737025770716</c:v>
                </c:pt>
                <c:pt idx="2">
                  <c:v>0.28079739380506263</c:v>
                </c:pt>
                <c:pt idx="3">
                  <c:v>0.2824545347274266</c:v>
                </c:pt>
                <c:pt idx="4">
                  <c:v>0.2855765245400021</c:v>
                </c:pt>
                <c:pt idx="5">
                  <c:v>0.27150125497270294</c:v>
                </c:pt>
              </c:numCache>
            </c:numRef>
          </c:val>
          <c:smooth val="0"/>
        </c:ser>
        <c:ser>
          <c:idx val="11"/>
          <c:order val="5"/>
          <c:tx>
            <c:v>QLD corrected</c:v>
          </c:tx>
          <c:spPr>
            <a:ln>
              <a:solidFill>
                <a:schemeClr val="accent3"/>
              </a:solidFill>
              <a:prstDash val="dash"/>
            </a:ln>
          </c:spPr>
          <c:marker>
            <c:spPr>
              <a:solidFill>
                <a:schemeClr val="accent3"/>
              </a:solidFill>
              <a:ln>
                <a:solidFill>
                  <a:schemeClr val="accent3"/>
                </a:solidFill>
              </a:ln>
            </c:spPr>
          </c:marker>
          <c:cat>
            <c:numRef>
              <c:f>'Utilisation charting'!$I$2:$N$2</c:f>
              <c:numCache>
                <c:formatCode>General</c:formatCode>
                <c:ptCount val="6"/>
                <c:pt idx="0">
                  <c:v>2006</c:v>
                </c:pt>
                <c:pt idx="1">
                  <c:v>2007</c:v>
                </c:pt>
                <c:pt idx="2">
                  <c:v>2008</c:v>
                </c:pt>
                <c:pt idx="3">
                  <c:v>2009</c:v>
                </c:pt>
                <c:pt idx="4">
                  <c:v>2010</c:v>
                </c:pt>
                <c:pt idx="5">
                  <c:v>2011</c:v>
                </c:pt>
              </c:numCache>
            </c:numRef>
          </c:cat>
          <c:val>
            <c:numRef>
              <c:f>'Utilisation charting'!$I$31:$N$31</c:f>
              <c:numCache>
                <c:formatCode>0%</c:formatCode>
                <c:ptCount val="6"/>
                <c:pt idx="0">
                  <c:v>0.36575623184515316</c:v>
                </c:pt>
                <c:pt idx="1">
                  <c:v>0.35498737025770716</c:v>
                </c:pt>
                <c:pt idx="2">
                  <c:v>0.28079739380506263</c:v>
                </c:pt>
                <c:pt idx="3">
                  <c:v>0.2824545347274266</c:v>
                </c:pt>
                <c:pt idx="4">
                  <c:v>0.2855765245400021</c:v>
                </c:pt>
                <c:pt idx="5">
                  <c:v>0.27150125497270294</c:v>
                </c:pt>
              </c:numCache>
            </c:numRef>
          </c:val>
          <c:smooth val="0"/>
        </c:ser>
        <c:dLbls>
          <c:showLegendKey val="0"/>
          <c:showVal val="0"/>
          <c:showCatName val="0"/>
          <c:showSerName val="0"/>
          <c:showPercent val="0"/>
          <c:showBubbleSize val="0"/>
        </c:dLbls>
        <c:marker val="1"/>
        <c:smooth val="0"/>
        <c:axId val="140727808"/>
        <c:axId val="140729728"/>
      </c:lineChart>
      <c:catAx>
        <c:axId val="140727808"/>
        <c:scaling>
          <c:orientation val="minMax"/>
        </c:scaling>
        <c:delete val="0"/>
        <c:axPos val="b"/>
        <c:numFmt formatCode="General" sourceLinked="1"/>
        <c:majorTickMark val="out"/>
        <c:minorTickMark val="none"/>
        <c:tickLblPos val="nextTo"/>
        <c:crossAx val="140729728"/>
        <c:crosses val="autoZero"/>
        <c:auto val="1"/>
        <c:lblAlgn val="ctr"/>
        <c:lblOffset val="100"/>
        <c:noMultiLvlLbl val="0"/>
      </c:catAx>
      <c:valAx>
        <c:axId val="140729728"/>
        <c:scaling>
          <c:orientation val="minMax"/>
          <c:min val="0.2"/>
        </c:scaling>
        <c:delete val="0"/>
        <c:axPos val="l"/>
        <c:majorGridlines/>
        <c:title>
          <c:tx>
            <c:rich>
              <a:bodyPr rot="-5400000" vert="horz"/>
              <a:lstStyle/>
              <a:p>
                <a:pPr>
                  <a:defRPr/>
                </a:pPr>
                <a:r>
                  <a:rPr lang="en-US"/>
                  <a:t>line utilisation</a:t>
                </a:r>
              </a:p>
            </c:rich>
          </c:tx>
          <c:layout/>
          <c:overlay val="0"/>
        </c:title>
        <c:numFmt formatCode="0%" sourceLinked="1"/>
        <c:majorTickMark val="out"/>
        <c:minorTickMark val="none"/>
        <c:tickLblPos val="nextTo"/>
        <c:crossAx val="140727808"/>
        <c:crosses val="autoZero"/>
        <c:crossBetween val="between"/>
      </c:valAx>
    </c:plotArea>
    <c:legend>
      <c:legendPos val="r"/>
      <c:layout/>
      <c:overlay val="0"/>
    </c:legend>
    <c:plotVisOnly val="0"/>
    <c:dispBlanksAs val="gap"/>
    <c:showDLblsOverMax val="0"/>
  </c:chart>
  <c:spPr>
    <a:ln>
      <a:noFill/>
    </a:ln>
  </c:sp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lineMarker"/>
        <c:varyColors val="0"/>
        <c:ser>
          <c:idx val="0"/>
          <c:order val="0"/>
          <c:tx>
            <c:strRef>
              <c:f>'Utilisation charting'!$B$5</c:f>
              <c:strCache>
                <c:ptCount val="1"/>
                <c:pt idx="0">
                  <c:v>VIC</c:v>
                </c:pt>
              </c:strCache>
            </c:strRef>
          </c:tx>
          <c:spPr>
            <a:ln w="12700">
              <a:solidFill>
                <a:schemeClr val="accent1"/>
              </a:solidFill>
              <a:prstDash val="sysDash"/>
              <a:tailEnd type="triangle" w="med" len="med"/>
            </a:ln>
          </c:spPr>
          <c:marker>
            <c:symbol val="circle"/>
            <c:size val="2"/>
          </c:marker>
          <c:xVal>
            <c:numRef>
              <c:f>'Utilisation charting'!$O$29:$Q$29</c:f>
              <c:numCache>
                <c:formatCode>0.0</c:formatCode>
                <c:ptCount val="3"/>
                <c:pt idx="0">
                  <c:v>1.4305203723485427</c:v>
                </c:pt>
                <c:pt idx="1">
                  <c:v>1.4305203723485427</c:v>
                </c:pt>
                <c:pt idx="2">
                  <c:v>1.4305203723485427</c:v>
                </c:pt>
              </c:numCache>
            </c:numRef>
          </c:xVal>
          <c:yVal>
            <c:numRef>
              <c:f>'Utilisation charting'!$R$29:$T$29</c:f>
              <c:numCache>
                <c:formatCode>0%</c:formatCode>
                <c:ptCount val="3"/>
                <c:pt idx="0">
                  <c:v>0.34614056422271761</c:v>
                </c:pt>
                <c:pt idx="1">
                  <c:v>0.35324152147479282</c:v>
                </c:pt>
                <c:pt idx="2">
                  <c:v>0.33997259449247064</c:v>
                </c:pt>
              </c:numCache>
            </c:numRef>
          </c:yVal>
          <c:smooth val="0"/>
        </c:ser>
        <c:ser>
          <c:idx val="1"/>
          <c:order val="1"/>
          <c:tx>
            <c:strRef>
              <c:f>'Utilisation charting'!$B$6</c:f>
              <c:strCache>
                <c:ptCount val="1"/>
                <c:pt idx="0">
                  <c:v>NSW</c:v>
                </c:pt>
              </c:strCache>
            </c:strRef>
          </c:tx>
          <c:spPr>
            <a:ln w="12700">
              <a:solidFill>
                <a:schemeClr val="accent2"/>
              </a:solidFill>
              <a:prstDash val="sysDash"/>
              <a:tailEnd type="triangle" w="med" len="med"/>
            </a:ln>
          </c:spPr>
          <c:marker>
            <c:symbol val="circle"/>
            <c:size val="2"/>
          </c:marker>
          <c:xVal>
            <c:numRef>
              <c:f>'Utilisation charting'!$O$30:$Q$30</c:f>
              <c:numCache>
                <c:formatCode>0.0</c:formatCode>
                <c:ptCount val="3"/>
                <c:pt idx="0">
                  <c:v>1.0049987954709709</c:v>
                </c:pt>
                <c:pt idx="1">
                  <c:v>1.0049987954709709</c:v>
                </c:pt>
                <c:pt idx="2">
                  <c:v>1.0049987954709709</c:v>
                </c:pt>
              </c:numCache>
            </c:numRef>
          </c:xVal>
          <c:yVal>
            <c:numRef>
              <c:f>'Utilisation charting'!$R$30:$T$30</c:f>
              <c:numCache>
                <c:formatCode>0%</c:formatCode>
                <c:ptCount val="3"/>
                <c:pt idx="0">
                  <c:v>0.34273247053719114</c:v>
                </c:pt>
                <c:pt idx="1">
                  <c:v>0.32360074733221622</c:v>
                </c:pt>
                <c:pt idx="2">
                  <c:v>0.29510205948194612</c:v>
                </c:pt>
              </c:numCache>
            </c:numRef>
          </c:yVal>
          <c:smooth val="0"/>
        </c:ser>
        <c:ser>
          <c:idx val="2"/>
          <c:order val="2"/>
          <c:tx>
            <c:strRef>
              <c:f>'Utilisation charting'!$B$7</c:f>
              <c:strCache>
                <c:ptCount val="1"/>
                <c:pt idx="0">
                  <c:v>QLD</c:v>
                </c:pt>
              </c:strCache>
            </c:strRef>
          </c:tx>
          <c:spPr>
            <a:ln w="12700">
              <a:solidFill>
                <a:schemeClr val="accent3"/>
              </a:solidFill>
              <a:prstDash val="sysDash"/>
              <a:tailEnd type="triangle" w="med" len="med"/>
            </a:ln>
          </c:spPr>
          <c:marker>
            <c:symbol val="circle"/>
            <c:size val="2"/>
          </c:marker>
          <c:xVal>
            <c:numRef>
              <c:f>'Utilisation charting'!$O$31:$Q$31</c:f>
              <c:numCache>
                <c:formatCode>0.0</c:formatCode>
                <c:ptCount val="3"/>
                <c:pt idx="0">
                  <c:v>0.68207287449392717</c:v>
                </c:pt>
                <c:pt idx="1">
                  <c:v>0.68207287449392717</c:v>
                </c:pt>
                <c:pt idx="2">
                  <c:v>0.68207287449392717</c:v>
                </c:pt>
              </c:numCache>
            </c:numRef>
          </c:xVal>
          <c:yVal>
            <c:numRef>
              <c:f>'Utilisation charting'!$R$31:$T$31</c:f>
              <c:numCache>
                <c:formatCode>0%</c:formatCode>
                <c:ptCount val="3"/>
                <c:pt idx="0">
                  <c:v>0.36037180105143019</c:v>
                </c:pt>
                <c:pt idx="1">
                  <c:v>0.30684555169134248</c:v>
                </c:pt>
                <c:pt idx="2">
                  <c:v>0.27853888975635255</c:v>
                </c:pt>
              </c:numCache>
            </c:numRef>
          </c:yVal>
          <c:smooth val="0"/>
        </c:ser>
        <c:ser>
          <c:idx val="3"/>
          <c:order val="3"/>
          <c:spPr>
            <a:ln w="12700">
              <a:solidFill>
                <a:schemeClr val="tx1"/>
              </a:solidFill>
              <a:prstDash val="sysDash"/>
            </a:ln>
          </c:spPr>
          <c:marker>
            <c:symbol val="none"/>
          </c:marker>
          <c:xVal>
            <c:numRef>
              <c:f>'Utilisation charting'!$O$29:$O$31</c:f>
              <c:numCache>
                <c:formatCode>0.0</c:formatCode>
                <c:ptCount val="3"/>
                <c:pt idx="0">
                  <c:v>1.4305203723485427</c:v>
                </c:pt>
                <c:pt idx="1">
                  <c:v>1.0049987954709709</c:v>
                </c:pt>
                <c:pt idx="2">
                  <c:v>0.68207287449392717</c:v>
                </c:pt>
              </c:numCache>
            </c:numRef>
          </c:xVal>
          <c:yVal>
            <c:numRef>
              <c:f>'Utilisation charting'!$T$29:$T$31</c:f>
              <c:numCache>
                <c:formatCode>0%</c:formatCode>
                <c:ptCount val="3"/>
                <c:pt idx="0">
                  <c:v>0.33997259449247064</c:v>
                </c:pt>
                <c:pt idx="1">
                  <c:v>0.29510205948194612</c:v>
                </c:pt>
                <c:pt idx="2">
                  <c:v>0.27853888975635255</c:v>
                </c:pt>
              </c:numCache>
            </c:numRef>
          </c:yVal>
          <c:smooth val="1"/>
        </c:ser>
        <c:ser>
          <c:idx val="4"/>
          <c:order val="4"/>
          <c:spPr>
            <a:ln w="12700">
              <a:solidFill>
                <a:schemeClr val="tx1"/>
              </a:solidFill>
              <a:prstDash val="sysDash"/>
              <a:tailEnd w="lg" len="med"/>
            </a:ln>
          </c:spPr>
          <c:marker>
            <c:symbol val="none"/>
          </c:marker>
          <c:xVal>
            <c:numRef>
              <c:f>'Utilisation charting'!$Q$29:$Q$31</c:f>
              <c:numCache>
                <c:formatCode>0.0</c:formatCode>
                <c:ptCount val="3"/>
                <c:pt idx="0">
                  <c:v>1.4305203723485427</c:v>
                </c:pt>
                <c:pt idx="1">
                  <c:v>1.0049987954709709</c:v>
                </c:pt>
                <c:pt idx="2">
                  <c:v>0.68207287449392717</c:v>
                </c:pt>
              </c:numCache>
            </c:numRef>
          </c:xVal>
          <c:yVal>
            <c:numRef>
              <c:f>'Utilisation charting'!$R$29:$R$31</c:f>
              <c:numCache>
                <c:formatCode>0%</c:formatCode>
                <c:ptCount val="3"/>
                <c:pt idx="0">
                  <c:v>0.34614056422271761</c:v>
                </c:pt>
                <c:pt idx="1">
                  <c:v>0.34273247053719114</c:v>
                </c:pt>
                <c:pt idx="2">
                  <c:v>0.36037180105143019</c:v>
                </c:pt>
              </c:numCache>
            </c:numRef>
          </c:yVal>
          <c:smooth val="1"/>
        </c:ser>
        <c:dLbls>
          <c:showLegendKey val="0"/>
          <c:showVal val="0"/>
          <c:showCatName val="0"/>
          <c:showSerName val="0"/>
          <c:showPercent val="0"/>
          <c:showBubbleSize val="0"/>
        </c:dLbls>
        <c:axId val="140749056"/>
        <c:axId val="140755328"/>
      </c:scatterChart>
      <c:valAx>
        <c:axId val="140749056"/>
        <c:scaling>
          <c:orientation val="minMax"/>
        </c:scaling>
        <c:delete val="0"/>
        <c:axPos val="b"/>
        <c:title>
          <c:tx>
            <c:rich>
              <a:bodyPr/>
              <a:lstStyle/>
              <a:p>
                <a:pPr>
                  <a:defRPr/>
                </a:pPr>
                <a:r>
                  <a:rPr lang="en-US"/>
                  <a:t>load density (MW per km)</a:t>
                </a:r>
              </a:p>
            </c:rich>
          </c:tx>
          <c:layout/>
          <c:overlay val="0"/>
        </c:title>
        <c:numFmt formatCode="0.0" sourceLinked="1"/>
        <c:majorTickMark val="out"/>
        <c:minorTickMark val="none"/>
        <c:tickLblPos val="nextTo"/>
        <c:crossAx val="140755328"/>
        <c:crosses val="autoZero"/>
        <c:crossBetween val="midCat"/>
      </c:valAx>
      <c:valAx>
        <c:axId val="140755328"/>
        <c:scaling>
          <c:orientation val="minMax"/>
        </c:scaling>
        <c:delete val="0"/>
        <c:axPos val="l"/>
        <c:majorGridlines/>
        <c:title>
          <c:tx>
            <c:rich>
              <a:bodyPr rot="-5400000" vert="horz"/>
              <a:lstStyle/>
              <a:p>
                <a:pPr>
                  <a:defRPr/>
                </a:pPr>
                <a:r>
                  <a:rPr lang="en-US"/>
                  <a:t>line utilisation</a:t>
                </a:r>
              </a:p>
            </c:rich>
          </c:tx>
          <c:layout/>
          <c:overlay val="0"/>
        </c:title>
        <c:numFmt formatCode="0%" sourceLinked="1"/>
        <c:majorTickMark val="out"/>
        <c:minorTickMark val="none"/>
        <c:tickLblPos val="nextTo"/>
        <c:crossAx val="140749056"/>
        <c:crosses val="autoZero"/>
        <c:crossBetween val="midCat"/>
      </c:valAx>
    </c:plotArea>
    <c:legend>
      <c:legendPos val="t"/>
      <c:legendEntry>
        <c:idx val="3"/>
        <c:delete val="1"/>
      </c:legendEntry>
      <c:legendEntry>
        <c:idx val="4"/>
        <c:delete val="1"/>
      </c:legendEntry>
      <c:layout/>
      <c:overlay val="0"/>
    </c:legend>
    <c:plotVisOnly val="0"/>
    <c:dispBlanksAs val="gap"/>
    <c:showDLblsOverMax val="0"/>
  </c:chart>
  <c:spPr>
    <a:ln>
      <a:noFill/>
    </a:ln>
  </c:sp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lineMarker"/>
        <c:varyColors val="0"/>
        <c:ser>
          <c:idx val="0"/>
          <c:order val="0"/>
          <c:tx>
            <c:strRef>
              <c:f>'Utilisation charting'!$B$5</c:f>
              <c:strCache>
                <c:ptCount val="1"/>
                <c:pt idx="0">
                  <c:v>VIC</c:v>
                </c:pt>
              </c:strCache>
            </c:strRef>
          </c:tx>
          <c:spPr>
            <a:ln w="25400">
              <a:solidFill>
                <a:schemeClr val="accent1"/>
              </a:solidFill>
              <a:tailEnd type="triangle" w="sm" len="med"/>
            </a:ln>
          </c:spPr>
          <c:xVal>
            <c:numRef>
              <c:f>'Utilisation charting'!$O$25:$Q$25</c:f>
              <c:numCache>
                <c:formatCode>0.0</c:formatCode>
                <c:ptCount val="3"/>
                <c:pt idx="0">
                  <c:v>1.4305203723485427</c:v>
                </c:pt>
                <c:pt idx="1">
                  <c:v>1.4305203723485427</c:v>
                </c:pt>
                <c:pt idx="2">
                  <c:v>1.4305203723485427</c:v>
                </c:pt>
              </c:numCache>
            </c:numRef>
          </c:xVal>
          <c:yVal>
            <c:numRef>
              <c:f>'Utilisation charting'!$R$25:$T$25</c:f>
              <c:numCache>
                <c:formatCode>0%</c:formatCode>
                <c:ptCount val="3"/>
                <c:pt idx="0">
                  <c:v>0.63555800499700954</c:v>
                </c:pt>
                <c:pt idx="1">
                  <c:v>0.5657915474380002</c:v>
                </c:pt>
                <c:pt idx="2">
                  <c:v>0.51497283500699764</c:v>
                </c:pt>
              </c:numCache>
            </c:numRef>
          </c:yVal>
          <c:smooth val="0"/>
        </c:ser>
        <c:ser>
          <c:idx val="1"/>
          <c:order val="1"/>
          <c:tx>
            <c:strRef>
              <c:f>'Utilisation charting'!$B$6</c:f>
              <c:strCache>
                <c:ptCount val="1"/>
                <c:pt idx="0">
                  <c:v>NSW</c:v>
                </c:pt>
              </c:strCache>
            </c:strRef>
          </c:tx>
          <c:spPr>
            <a:ln w="25400">
              <a:solidFill>
                <a:schemeClr val="accent2"/>
              </a:solidFill>
              <a:tailEnd type="triangle" w="sm" len="med"/>
            </a:ln>
          </c:spPr>
          <c:xVal>
            <c:numRef>
              <c:f>'Utilisation charting'!$O$26:$Q$26</c:f>
              <c:numCache>
                <c:formatCode>0.0</c:formatCode>
                <c:ptCount val="3"/>
                <c:pt idx="0">
                  <c:v>1.0049987954709709</c:v>
                </c:pt>
                <c:pt idx="1">
                  <c:v>1.0049987954709709</c:v>
                </c:pt>
                <c:pt idx="2">
                  <c:v>1.0049987954709709</c:v>
                </c:pt>
              </c:numCache>
            </c:numRef>
          </c:xVal>
          <c:yVal>
            <c:numRef>
              <c:f>'Utilisation charting'!$R$26:$T$26</c:f>
              <c:numCache>
                <c:formatCode>0%</c:formatCode>
                <c:ptCount val="3"/>
                <c:pt idx="0">
                  <c:v>0.47848014526411015</c:v>
                </c:pt>
                <c:pt idx="1">
                  <c:v>0.45752449012854085</c:v>
                </c:pt>
                <c:pt idx="2">
                  <c:v>0.42711400765889457</c:v>
                </c:pt>
              </c:numCache>
            </c:numRef>
          </c:yVal>
          <c:smooth val="0"/>
        </c:ser>
        <c:ser>
          <c:idx val="2"/>
          <c:order val="2"/>
          <c:tx>
            <c:strRef>
              <c:f>'Utilisation charting'!$B$7</c:f>
              <c:strCache>
                <c:ptCount val="1"/>
                <c:pt idx="0">
                  <c:v>QLD</c:v>
                </c:pt>
              </c:strCache>
            </c:strRef>
          </c:tx>
          <c:spPr>
            <a:ln w="25400">
              <a:solidFill>
                <a:schemeClr val="accent3"/>
              </a:solidFill>
              <a:tailEnd type="triangle" w="sm" len="med"/>
            </a:ln>
          </c:spPr>
          <c:xVal>
            <c:numRef>
              <c:f>'Utilisation charting'!$O$27:$Q$27</c:f>
              <c:numCache>
                <c:formatCode>0.0</c:formatCode>
                <c:ptCount val="3"/>
                <c:pt idx="0">
                  <c:v>0.68207287449392717</c:v>
                </c:pt>
                <c:pt idx="1">
                  <c:v>0.68207287449392717</c:v>
                </c:pt>
                <c:pt idx="2">
                  <c:v>0.68207287449392717</c:v>
                </c:pt>
              </c:numCache>
            </c:numRef>
          </c:xVal>
          <c:yVal>
            <c:numRef>
              <c:f>'Utilisation charting'!$R$27:$T$27</c:f>
              <c:numCache>
                <c:formatCode>0%</c:formatCode>
                <c:ptCount val="3"/>
                <c:pt idx="0">
                  <c:v>0.44149717580888148</c:v>
                </c:pt>
                <c:pt idx="1">
                  <c:v>0.40004768478314251</c:v>
                </c:pt>
                <c:pt idx="2">
                  <c:v>0.37475928998934682</c:v>
                </c:pt>
              </c:numCache>
            </c:numRef>
          </c:yVal>
          <c:smooth val="0"/>
        </c:ser>
        <c:dLbls>
          <c:showLegendKey val="0"/>
          <c:showVal val="0"/>
          <c:showCatName val="0"/>
          <c:showSerName val="0"/>
          <c:showPercent val="0"/>
          <c:showBubbleSize val="0"/>
        </c:dLbls>
        <c:axId val="140778112"/>
        <c:axId val="140784384"/>
      </c:scatterChart>
      <c:valAx>
        <c:axId val="140778112"/>
        <c:scaling>
          <c:orientation val="minMax"/>
        </c:scaling>
        <c:delete val="0"/>
        <c:axPos val="b"/>
        <c:title>
          <c:tx>
            <c:rich>
              <a:bodyPr/>
              <a:lstStyle/>
              <a:p>
                <a:pPr>
                  <a:defRPr/>
                </a:pPr>
                <a:r>
                  <a:rPr lang="en-US"/>
                  <a:t>load density (MW per km)</a:t>
                </a:r>
              </a:p>
            </c:rich>
          </c:tx>
          <c:layout/>
          <c:overlay val="0"/>
        </c:title>
        <c:numFmt formatCode="0.0" sourceLinked="1"/>
        <c:majorTickMark val="out"/>
        <c:minorTickMark val="none"/>
        <c:tickLblPos val="nextTo"/>
        <c:crossAx val="140784384"/>
        <c:crosses val="autoZero"/>
        <c:crossBetween val="midCat"/>
      </c:valAx>
      <c:valAx>
        <c:axId val="140784384"/>
        <c:scaling>
          <c:orientation val="minMax"/>
        </c:scaling>
        <c:delete val="0"/>
        <c:axPos val="l"/>
        <c:majorGridlines/>
        <c:title>
          <c:tx>
            <c:rich>
              <a:bodyPr rot="-5400000" vert="horz"/>
              <a:lstStyle/>
              <a:p>
                <a:pPr>
                  <a:defRPr/>
                </a:pPr>
                <a:r>
                  <a:rPr lang="en-US"/>
                  <a:t>transformer utilisation</a:t>
                </a:r>
              </a:p>
            </c:rich>
          </c:tx>
          <c:layout/>
          <c:overlay val="0"/>
        </c:title>
        <c:numFmt formatCode="0%" sourceLinked="1"/>
        <c:majorTickMark val="out"/>
        <c:minorTickMark val="none"/>
        <c:tickLblPos val="nextTo"/>
        <c:crossAx val="140778112"/>
        <c:crosses val="autoZero"/>
        <c:crossBetween val="midCat"/>
      </c:valAx>
    </c:plotArea>
    <c:legend>
      <c:legendPos val="r"/>
      <c:layout/>
      <c:overlay val="0"/>
    </c:legend>
    <c:plotVisOnly val="0"/>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190500</xdr:rowOff>
    </xdr:from>
    <xdr:to>
      <xdr:col>12</xdr:col>
      <xdr:colOff>26104</xdr:colOff>
      <xdr:row>7</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8960554"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37</xdr:row>
      <xdr:rowOff>127000</xdr:rowOff>
    </xdr:from>
    <xdr:to>
      <xdr:col>13</xdr:col>
      <xdr:colOff>0</xdr:colOff>
      <xdr:row>52</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76</xdr:row>
      <xdr:rowOff>15875</xdr:rowOff>
    </xdr:from>
    <xdr:to>
      <xdr:col>13</xdr:col>
      <xdr:colOff>0</xdr:colOff>
      <xdr:row>91</xdr:row>
      <xdr:rowOff>41275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66675</xdr:rowOff>
    </xdr:from>
    <xdr:to>
      <xdr:col>13</xdr:col>
      <xdr:colOff>0</xdr:colOff>
      <xdr:row>70</xdr:row>
      <xdr:rowOff>92075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660400</xdr:colOff>
      <xdr:row>37</xdr:row>
      <xdr:rowOff>114300</xdr:rowOff>
    </xdr:from>
    <xdr:to>
      <xdr:col>26</xdr:col>
      <xdr:colOff>482600</xdr:colOff>
      <xdr:row>52</xdr:row>
      <xdr:rowOff>139700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15875</xdr:colOff>
      <xdr:row>95</xdr:row>
      <xdr:rowOff>25401</xdr:rowOff>
    </xdr:from>
    <xdr:to>
      <xdr:col>12</xdr:col>
      <xdr:colOff>803275</xdr:colOff>
      <xdr:row>110</xdr:row>
      <xdr:rowOff>50801</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666750</xdr:colOff>
      <xdr:row>55</xdr:row>
      <xdr:rowOff>31750</xdr:rowOff>
    </xdr:from>
    <xdr:to>
      <xdr:col>26</xdr:col>
      <xdr:colOff>494242</xdr:colOff>
      <xdr:row>70</xdr:row>
      <xdr:rowOff>57150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666750</xdr:colOff>
      <xdr:row>76</xdr:row>
      <xdr:rowOff>120650</xdr:rowOff>
    </xdr:from>
    <xdr:to>
      <xdr:col>26</xdr:col>
      <xdr:colOff>488950</xdr:colOff>
      <xdr:row>91</xdr:row>
      <xdr:rowOff>146050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115</xdr:row>
      <xdr:rowOff>0</xdr:rowOff>
    </xdr:from>
    <xdr:to>
      <xdr:col>13</xdr:col>
      <xdr:colOff>444500</xdr:colOff>
      <xdr:row>124</xdr:row>
      <xdr:rowOff>259557</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115</xdr:row>
      <xdr:rowOff>13607</xdr:rowOff>
    </xdr:from>
    <xdr:to>
      <xdr:col>6</xdr:col>
      <xdr:colOff>444500</xdr:colOff>
      <xdr:row>124</xdr:row>
      <xdr:rowOff>253093</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inquiry/electricity/submissions/original/VIC_200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rojects/inquiry/electricity/submissions/original/NSW_200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ojects/inquiry/electricity/submissions/original/NSW_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rojects/inquiry/electricity/submissions/original/NSW_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rojects/inquiry/electricity/submissions/original/QLD_200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rojects/inquiry/electricity/submissions/original/QLD_200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ojects/inquiry/electricity/submissions/original/QLD_200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rojects/inquiry/electricity/submissions/original/QLD_200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rojects/inquiry/electricity/submissions/original/QLD_201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rojects/inquiry/electricity/submissions/original/QLD_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s/inquiry/electricity/submissions/original/VIC_20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s/inquiry/electricity/submissions/original/VIC_20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jects/inquiry/electricity/submissions/original/VIC_200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jects/inquiry/electricity/submissions/original/VIC_20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jects/inquiry/electricity/submissions/original/VIC_20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ojects/inquiry/electricity/submissions/original/NSW_200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ojects/inquiry/electricity/submissions/original/NSW_20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jects/inquiry/electricity/submissions/original/NSW_20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C_2006"/>
      <sheetName val="Utilisation"/>
      <sheetName val="U6"/>
      <sheetName val="U5"/>
      <sheetName val="lookup"/>
      <sheetName val="U4"/>
      <sheetName val="Lookup old"/>
      <sheetName val="U3"/>
      <sheetName val="U2"/>
    </sheetNames>
    <sheetDataSet>
      <sheetData sheetId="0"/>
      <sheetData sheetId="1">
        <row r="2">
          <cell r="N2">
            <v>-569.35599999999999</v>
          </cell>
        </row>
        <row r="19">
          <cell r="D19">
            <v>0.58985303880327544</v>
          </cell>
        </row>
        <row r="22">
          <cell r="D22">
            <v>0.27380586225752107</v>
          </cell>
        </row>
        <row r="24">
          <cell r="D24">
            <v>21872</v>
          </cell>
        </row>
        <row r="25">
          <cell r="D25">
            <v>12901.265664705241</v>
          </cell>
        </row>
        <row r="26">
          <cell r="D26">
            <v>95698.055999999997</v>
          </cell>
        </row>
        <row r="27">
          <cell r="D27">
            <v>27084.794892158865</v>
          </cell>
        </row>
        <row r="28">
          <cell r="D28">
            <v>5995.614774524729</v>
          </cell>
        </row>
        <row r="29">
          <cell r="D29">
            <v>5631766.1139358506</v>
          </cell>
        </row>
        <row r="34">
          <cell r="D34">
            <v>0.24172318960950123</v>
          </cell>
        </row>
        <row r="35">
          <cell r="D35">
            <v>3678033.0914557278</v>
          </cell>
        </row>
        <row r="36">
          <cell r="D36">
            <v>48476.3</v>
          </cell>
        </row>
        <row r="37">
          <cell r="D37">
            <v>12601.448785236105</v>
          </cell>
        </row>
        <row r="38">
          <cell r="D38">
            <v>1446.1046617137413</v>
          </cell>
        </row>
        <row r="43">
          <cell r="D43">
            <v>0.3050262899048774</v>
          </cell>
        </row>
        <row r="44">
          <cell r="D44">
            <v>708011.4283817074</v>
          </cell>
        </row>
        <row r="45">
          <cell r="D45">
            <v>4902.6370000000006</v>
          </cell>
        </row>
        <row r="46">
          <cell r="D46">
            <v>1445.1669121584582</v>
          </cell>
        </row>
        <row r="47">
          <cell r="D47">
            <v>724.03326534134681</v>
          </cell>
        </row>
        <row r="53">
          <cell r="D53">
            <v>0</v>
          </cell>
        </row>
        <row r="54">
          <cell r="D54">
            <v>0</v>
          </cell>
        </row>
        <row r="55">
          <cell r="D55">
            <v>0</v>
          </cell>
        </row>
        <row r="56">
          <cell r="D56">
            <v>0</v>
          </cell>
        </row>
        <row r="61">
          <cell r="D61">
            <v>0.35087816724091725</v>
          </cell>
        </row>
        <row r="62">
          <cell r="D62">
            <v>1232961.1063178496</v>
          </cell>
        </row>
        <row r="63">
          <cell r="D63">
            <v>41086.119000000006</v>
          </cell>
        </row>
        <row r="64">
          <cell r="D64">
            <v>12626.300249866343</v>
          </cell>
        </row>
        <row r="65">
          <cell r="D65">
            <v>3620.9880858361948</v>
          </cell>
        </row>
        <row r="71">
          <cell r="D71">
            <v>0</v>
          </cell>
        </row>
        <row r="72">
          <cell r="D72">
            <v>0</v>
          </cell>
        </row>
        <row r="73">
          <cell r="D73">
            <v>0</v>
          </cell>
        </row>
        <row r="74">
          <cell r="D74">
            <v>0</v>
          </cell>
        </row>
        <row r="80">
          <cell r="D80">
            <v>0</v>
          </cell>
        </row>
        <row r="81">
          <cell r="D81">
            <v>0</v>
          </cell>
        </row>
        <row r="82">
          <cell r="D82">
            <v>0</v>
          </cell>
        </row>
        <row r="83">
          <cell r="D83">
            <v>0</v>
          </cell>
        </row>
        <row r="88">
          <cell r="D88">
            <v>0.34195041006993515</v>
          </cell>
        </row>
        <row r="89">
          <cell r="D89">
            <v>12760.487780561323</v>
          </cell>
        </row>
        <row r="90">
          <cell r="D90">
            <v>1233</v>
          </cell>
        </row>
        <row r="91">
          <cell r="D91">
            <v>411.87894489794604</v>
          </cell>
        </row>
        <row r="92">
          <cell r="D92">
            <v>204.48876163344772</v>
          </cell>
        </row>
        <row r="108">
          <cell r="D108">
            <v>0.55832478764065685</v>
          </cell>
        </row>
        <row r="110">
          <cell r="D110">
            <v>11675</v>
          </cell>
        </row>
        <row r="111">
          <cell r="D111">
            <v>6518.4418957046682</v>
          </cell>
        </row>
        <row r="115">
          <cell r="D115">
            <v>0.62595113945283598</v>
          </cell>
        </row>
        <row r="117">
          <cell r="D117">
            <v>10197</v>
          </cell>
        </row>
        <row r="118">
          <cell r="D118">
            <v>6382.823769000569</v>
          </cell>
        </row>
      </sheetData>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W_2009"/>
      <sheetName val="Utilisation"/>
      <sheetName val="U6"/>
      <sheetName val="U5"/>
      <sheetName val="lookup"/>
      <sheetName val="U4"/>
      <sheetName val="Lookup old"/>
      <sheetName val="U3"/>
      <sheetName val="U2"/>
    </sheetNames>
    <sheetDataSet>
      <sheetData sheetId="0"/>
      <sheetData sheetId="1">
        <row r="2">
          <cell r="N2">
            <v>274.05700000000002</v>
          </cell>
        </row>
        <row r="19">
          <cell r="E19">
            <v>0.44404169937943855</v>
          </cell>
        </row>
        <row r="22">
          <cell r="E22">
            <v>0.34130096528932719</v>
          </cell>
        </row>
        <row r="24">
          <cell r="E24">
            <v>24485</v>
          </cell>
        </row>
        <row r="25">
          <cell r="E25">
            <v>10872.361009305552</v>
          </cell>
        </row>
        <row r="26">
          <cell r="E26">
            <v>115009</v>
          </cell>
        </row>
        <row r="27">
          <cell r="E27">
            <v>38026.91468595068</v>
          </cell>
        </row>
        <row r="28">
          <cell r="E28">
            <v>11390.643845452143</v>
          </cell>
        </row>
        <row r="29">
          <cell r="E29">
            <v>6581185.1703574117</v>
          </cell>
        </row>
        <row r="34">
          <cell r="E34">
            <v>0.20546019457605119</v>
          </cell>
        </row>
        <row r="35">
          <cell r="E35">
            <v>593262</v>
          </cell>
        </row>
        <row r="36">
          <cell r="E36">
            <v>4140</v>
          </cell>
        </row>
        <row r="37">
          <cell r="E37">
            <v>850.60520554485197</v>
          </cell>
        </row>
        <row r="38">
          <cell r="E38">
            <v>286.60000000000002</v>
          </cell>
        </row>
        <row r="43">
          <cell r="E43">
            <v>0.35386551539196776</v>
          </cell>
        </row>
        <row r="44">
          <cell r="E44">
            <v>5209935.5687218672</v>
          </cell>
        </row>
        <row r="45">
          <cell r="E45">
            <v>69457</v>
          </cell>
        </row>
        <row r="46">
          <cell r="E46">
            <v>23168.034866179463</v>
          </cell>
        </row>
        <row r="47">
          <cell r="E47">
            <v>5227.8236651213883</v>
          </cell>
        </row>
        <row r="53">
          <cell r="E53">
            <v>0</v>
          </cell>
        </row>
        <row r="54">
          <cell r="E54">
            <v>0</v>
          </cell>
        </row>
        <row r="55">
          <cell r="E55">
            <v>0</v>
          </cell>
        </row>
        <row r="56">
          <cell r="E56">
            <v>0</v>
          </cell>
        </row>
        <row r="61">
          <cell r="E61">
            <v>0.58431178566815833</v>
          </cell>
        </row>
        <row r="62">
          <cell r="E62">
            <v>133438.29999999999</v>
          </cell>
        </row>
        <row r="63">
          <cell r="E63">
            <v>623</v>
          </cell>
        </row>
        <row r="64">
          <cell r="E64">
            <v>368.15292316113238</v>
          </cell>
        </row>
        <row r="65">
          <cell r="E65">
            <v>657.3</v>
          </cell>
        </row>
        <row r="70">
          <cell r="E70">
            <v>0.31607074532419172</v>
          </cell>
        </row>
        <row r="71">
          <cell r="E71">
            <v>634250.60309839295</v>
          </cell>
        </row>
        <row r="72">
          <cell r="E72">
            <v>40223</v>
          </cell>
        </row>
        <row r="73">
          <cell r="E73">
            <v>13445.640943423812</v>
          </cell>
        </row>
        <row r="74">
          <cell r="E74">
            <v>5056.0607593349132</v>
          </cell>
        </row>
        <row r="80">
          <cell r="E80">
            <v>0</v>
          </cell>
        </row>
        <row r="81">
          <cell r="E81">
            <v>0</v>
          </cell>
        </row>
        <row r="82">
          <cell r="E82">
            <v>0</v>
          </cell>
        </row>
        <row r="83">
          <cell r="E83">
            <v>0</v>
          </cell>
        </row>
        <row r="88">
          <cell r="E88">
            <v>0.21546004578606756</v>
          </cell>
        </row>
        <row r="89">
          <cell r="E89">
            <v>10298.698537151718</v>
          </cell>
        </row>
        <row r="90">
          <cell r="E90">
            <v>566</v>
          </cell>
        </row>
        <row r="91">
          <cell r="E91">
            <v>194.48074764145417</v>
          </cell>
        </row>
        <row r="92">
          <cell r="E92">
            <v>162.8594209958558</v>
          </cell>
        </row>
        <row r="108">
          <cell r="E108">
            <v>0.4509501115928623</v>
          </cell>
        </row>
        <row r="110">
          <cell r="E110">
            <v>23205</v>
          </cell>
        </row>
        <row r="111">
          <cell r="E111">
            <v>10464.29733951237</v>
          </cell>
        </row>
        <row r="115">
          <cell r="E115">
            <v>0.31879974202592221</v>
          </cell>
        </row>
        <row r="117">
          <cell r="E117">
            <v>1280</v>
          </cell>
        </row>
        <row r="118">
          <cell r="E118">
            <v>408.0636697931804</v>
          </cell>
        </row>
      </sheetData>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W_2010"/>
      <sheetName val="Utilisation"/>
      <sheetName val="U6"/>
      <sheetName val="U5"/>
      <sheetName val="lookup"/>
      <sheetName val="U4"/>
      <sheetName val="Lookup old"/>
      <sheetName val="U3"/>
      <sheetName val="U2"/>
      <sheetName val="Utilisation old"/>
    </sheetNames>
    <sheetDataSet>
      <sheetData sheetId="0"/>
      <sheetData sheetId="1">
        <row r="2">
          <cell r="N2">
            <v>520.79999999999995</v>
          </cell>
        </row>
        <row r="19">
          <cell r="E19">
            <v>0.41888437707578441</v>
          </cell>
        </row>
        <row r="22">
          <cell r="E22">
            <v>0.28395281375087977</v>
          </cell>
        </row>
        <row r="24">
          <cell r="E24">
            <v>26900</v>
          </cell>
        </row>
        <row r="25">
          <cell r="E25">
            <v>11267.989743338601</v>
          </cell>
        </row>
        <row r="26">
          <cell r="E26">
            <v>137874</v>
          </cell>
        </row>
        <row r="27">
          <cell r="E27">
            <v>42212.533784628817</v>
          </cell>
        </row>
        <row r="28">
          <cell r="E28">
            <v>12849.633026994328</v>
          </cell>
        </row>
        <row r="29">
          <cell r="E29">
            <v>9087107.6742895208</v>
          </cell>
        </row>
        <row r="34">
          <cell r="E34">
            <v>8.2958891813869937E-2</v>
          </cell>
        </row>
        <row r="35">
          <cell r="E35">
            <v>2945065.2592908088</v>
          </cell>
        </row>
        <row r="36">
          <cell r="E36">
            <v>17514</v>
          </cell>
        </row>
        <row r="37">
          <cell r="E37">
            <v>1637.2739470504205</v>
          </cell>
        </row>
        <row r="38">
          <cell r="E38">
            <v>1277.0446617137413</v>
          </cell>
        </row>
        <row r="43">
          <cell r="E43">
            <v>0.39203717101522573</v>
          </cell>
        </row>
        <row r="44">
          <cell r="E44">
            <v>5295029.0902445177</v>
          </cell>
        </row>
        <row r="45">
          <cell r="E45">
            <v>75629</v>
          </cell>
        </row>
        <row r="46">
          <cell r="E46">
            <v>26228.229745193905</v>
          </cell>
        </row>
        <row r="47">
          <cell r="E47">
            <v>5359.2451998900224</v>
          </cell>
        </row>
        <row r="53">
          <cell r="E53">
            <v>0</v>
          </cell>
        </row>
        <row r="54">
          <cell r="E54">
            <v>0</v>
          </cell>
        </row>
        <row r="55">
          <cell r="E55">
            <v>0</v>
          </cell>
        </row>
        <row r="56">
          <cell r="E56">
            <v>0</v>
          </cell>
        </row>
        <row r="61">
          <cell r="E61">
            <v>0.28670035394249549</v>
          </cell>
        </row>
        <row r="62">
          <cell r="E62">
            <v>133438.29999999999</v>
          </cell>
        </row>
        <row r="63">
          <cell r="E63">
            <v>623</v>
          </cell>
        </row>
        <row r="64">
          <cell r="E64">
            <v>174.3150069122099</v>
          </cell>
        </row>
        <row r="65">
          <cell r="E65">
            <v>657.3</v>
          </cell>
        </row>
        <row r="70">
          <cell r="E70">
            <v>0.31759521246183892</v>
          </cell>
        </row>
        <row r="71">
          <cell r="E71">
            <v>690929.07148692047</v>
          </cell>
        </row>
        <row r="72">
          <cell r="E72">
            <v>42561</v>
          </cell>
        </row>
        <row r="73">
          <cell r="E73">
            <v>13960.141016057867</v>
          </cell>
        </row>
        <row r="74">
          <cell r="E74">
            <v>5392.2798356046542</v>
          </cell>
        </row>
        <row r="80">
          <cell r="E80">
            <v>0</v>
          </cell>
        </row>
        <row r="81">
          <cell r="E81">
            <v>0</v>
          </cell>
        </row>
        <row r="82">
          <cell r="E82">
            <v>0</v>
          </cell>
        </row>
        <row r="83">
          <cell r="E83">
            <v>0</v>
          </cell>
        </row>
        <row r="88">
          <cell r="E88">
            <v>0.1081714086087342</v>
          </cell>
        </row>
        <row r="89">
          <cell r="E89">
            <v>22645.953267277095</v>
          </cell>
        </row>
        <row r="90">
          <cell r="E90">
            <v>1547</v>
          </cell>
        </row>
        <row r="91">
          <cell r="E91">
            <v>212.57406941439851</v>
          </cell>
        </row>
        <row r="92">
          <cell r="E92">
            <v>163.76332978592319</v>
          </cell>
        </row>
        <row r="108">
          <cell r="E108">
            <v>0.43378744283101334</v>
          </cell>
        </row>
        <row r="110">
          <cell r="E110">
            <v>25005</v>
          </cell>
        </row>
        <row r="111">
          <cell r="E111">
            <v>10846.855007989489</v>
          </cell>
        </row>
        <row r="115">
          <cell r="E115">
            <v>0.22223468883858222</v>
          </cell>
        </row>
        <row r="117">
          <cell r="E117">
            <v>1895</v>
          </cell>
        </row>
        <row r="118">
          <cell r="E118">
            <v>421.13473534911333</v>
          </cell>
        </row>
      </sheetData>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W_2011"/>
      <sheetName val="Utilisation"/>
      <sheetName val="U6"/>
      <sheetName val="U5"/>
      <sheetName val="lookup"/>
      <sheetName val="U4"/>
      <sheetName val="Lookup old"/>
      <sheetName val="U3"/>
      <sheetName val="U2"/>
    </sheetNames>
    <sheetDataSet>
      <sheetData sheetId="0"/>
      <sheetData sheetId="1">
        <row r="2">
          <cell r="N2">
            <v>545.48500000000001</v>
          </cell>
        </row>
        <row r="19">
          <cell r="E19">
            <v>0.39710176877692088</v>
          </cell>
        </row>
        <row r="22">
          <cell r="E22">
            <v>0.32310854157792507</v>
          </cell>
        </row>
        <row r="24">
          <cell r="E24">
            <v>30052</v>
          </cell>
        </row>
        <row r="25">
          <cell r="E25">
            <v>11933.702355284026</v>
          </cell>
        </row>
        <row r="26">
          <cell r="E26">
            <v>145296</v>
          </cell>
        </row>
        <row r="27">
          <cell r="E27">
            <v>47554.044400634622</v>
          </cell>
        </row>
        <row r="28">
          <cell r="E28">
            <v>12258.331367457977</v>
          </cell>
        </row>
        <row r="29">
          <cell r="E29">
            <v>8322107.8691670075</v>
          </cell>
        </row>
        <row r="34">
          <cell r="E34">
            <v>9.2114608796098618E-2</v>
          </cell>
        </row>
        <row r="35">
          <cell r="E35">
            <v>2689871.2</v>
          </cell>
        </row>
        <row r="36">
          <cell r="E36">
            <v>18407</v>
          </cell>
        </row>
        <row r="37">
          <cell r="E37">
            <v>1674.7068458787458</v>
          </cell>
        </row>
        <row r="38">
          <cell r="E38">
            <v>1017.9999999999999</v>
          </cell>
        </row>
        <row r="43">
          <cell r="E43">
            <v>0.45842962086923728</v>
          </cell>
        </row>
        <row r="44">
          <cell r="E44">
            <v>4692780.8</v>
          </cell>
        </row>
        <row r="45">
          <cell r="E45">
            <v>74601</v>
          </cell>
        </row>
        <row r="46">
          <cell r="E46">
            <v>29552.872012049607</v>
          </cell>
        </row>
        <row r="47">
          <cell r="E47">
            <v>4806.2000000000016</v>
          </cell>
        </row>
        <row r="53">
          <cell r="E53">
            <v>0</v>
          </cell>
        </row>
        <row r="54">
          <cell r="E54">
            <v>0</v>
          </cell>
        </row>
        <row r="55">
          <cell r="E55">
            <v>0</v>
          </cell>
        </row>
        <row r="56">
          <cell r="E56">
            <v>0</v>
          </cell>
        </row>
        <row r="61">
          <cell r="E61">
            <v>0.35723041783964704</v>
          </cell>
        </row>
        <row r="62">
          <cell r="E62">
            <v>133438.29999999999</v>
          </cell>
        </row>
        <row r="63">
          <cell r="E63">
            <v>623</v>
          </cell>
        </row>
        <row r="64">
          <cell r="E64">
            <v>222.62557590025239</v>
          </cell>
        </row>
        <row r="65">
          <cell r="E65">
            <v>657.3</v>
          </cell>
        </row>
        <row r="70">
          <cell r="E70">
            <v>0.30216303563145402</v>
          </cell>
        </row>
        <row r="71">
          <cell r="E71">
            <v>793868.83750739554</v>
          </cell>
        </row>
        <row r="72">
          <cell r="E72">
            <v>50945</v>
          </cell>
        </row>
        <row r="73">
          <cell r="E73">
            <v>15906.222534338516</v>
          </cell>
        </row>
        <row r="74">
          <cell r="E74">
            <v>5587.1927913393611</v>
          </cell>
        </row>
        <row r="80">
          <cell r="E80">
            <v>0</v>
          </cell>
        </row>
        <row r="81">
          <cell r="E81">
            <v>0</v>
          </cell>
        </row>
        <row r="82">
          <cell r="E82">
            <v>0</v>
          </cell>
        </row>
        <row r="83">
          <cell r="E83">
            <v>0</v>
          </cell>
        </row>
        <row r="88">
          <cell r="E88">
            <v>0.1903032151763191</v>
          </cell>
        </row>
        <row r="89">
          <cell r="E89">
            <v>12148.731659615347</v>
          </cell>
        </row>
        <row r="90">
          <cell r="E90">
            <v>720</v>
          </cell>
        </row>
        <row r="91">
          <cell r="E91">
            <v>197.61743246754008</v>
          </cell>
        </row>
        <row r="92">
          <cell r="E92">
            <v>189.63857611863222</v>
          </cell>
        </row>
        <row r="108">
          <cell r="E108">
            <v>0.44377191762129781</v>
          </cell>
        </row>
        <row r="110">
          <cell r="E110">
            <v>26099</v>
          </cell>
        </row>
        <row r="111">
          <cell r="E111">
            <v>11582.003277998252</v>
          </cell>
        </row>
        <row r="115">
          <cell r="E115">
            <v>8.8970168804900357E-2</v>
          </cell>
        </row>
        <row r="117">
          <cell r="E117">
            <v>3953</v>
          </cell>
        </row>
        <row r="118">
          <cell r="E118">
            <v>351.69907728577112</v>
          </cell>
        </row>
      </sheetData>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LD_2006"/>
      <sheetName val="Utilisation"/>
      <sheetName val="U6"/>
      <sheetName val="U5"/>
      <sheetName val="lookup"/>
      <sheetName val="U4"/>
      <sheetName val="Lookup old"/>
      <sheetName val="U3"/>
      <sheetName val="U2"/>
    </sheetNames>
    <sheetDataSet>
      <sheetData sheetId="0"/>
      <sheetData sheetId="1">
        <row r="2">
          <cell r="N2">
            <v>21.907</v>
          </cell>
        </row>
        <row r="19">
          <cell r="F19">
            <v>0.44833479189518322</v>
          </cell>
        </row>
        <row r="22">
          <cell r="F22">
            <v>0.36575623184515316</v>
          </cell>
        </row>
        <row r="24">
          <cell r="F24">
            <v>19487</v>
          </cell>
        </row>
        <row r="25">
          <cell r="F25">
            <v>8736.7000896614354</v>
          </cell>
        </row>
        <row r="26">
          <cell r="F26">
            <v>82253</v>
          </cell>
        </row>
        <row r="27">
          <cell r="F27">
            <v>29911.012582202598</v>
          </cell>
        </row>
        <row r="28">
          <cell r="F28">
            <v>13142.418725972735</v>
          </cell>
        </row>
        <row r="29">
          <cell r="F29">
            <v>4925026.8690888546</v>
          </cell>
        </row>
        <row r="35">
          <cell r="F35">
            <v>0</v>
          </cell>
        </row>
        <row r="36">
          <cell r="F36">
            <v>0</v>
          </cell>
        </row>
        <row r="37">
          <cell r="F37">
            <v>0</v>
          </cell>
        </row>
        <row r="38">
          <cell r="F38">
            <v>0</v>
          </cell>
        </row>
        <row r="43">
          <cell r="F43">
            <v>0.13777344922110901</v>
          </cell>
        </row>
        <row r="44">
          <cell r="F44">
            <v>370122.01662366622</v>
          </cell>
        </row>
        <row r="45">
          <cell r="F45">
            <v>8226</v>
          </cell>
        </row>
        <row r="46">
          <cell r="F46">
            <v>1382.2522881255204</v>
          </cell>
        </row>
        <row r="47">
          <cell r="F47">
            <v>320.65945154387333</v>
          </cell>
        </row>
        <row r="52">
          <cell r="F52">
            <v>0.3893100263845764</v>
          </cell>
        </row>
        <row r="53">
          <cell r="F53">
            <v>3876694.3323151283</v>
          </cell>
        </row>
        <row r="54">
          <cell r="F54">
            <v>48618</v>
          </cell>
        </row>
        <row r="55">
          <cell r="F55">
            <v>19038.221868195156</v>
          </cell>
        </row>
        <row r="56">
          <cell r="F56">
            <v>6081.5624274684851</v>
          </cell>
        </row>
        <row r="62">
          <cell r="F62">
            <v>0</v>
          </cell>
        </row>
        <row r="63">
          <cell r="F63">
            <v>0</v>
          </cell>
        </row>
        <row r="64">
          <cell r="F64">
            <v>0</v>
          </cell>
        </row>
        <row r="65">
          <cell r="F65">
            <v>0</v>
          </cell>
        </row>
        <row r="70">
          <cell r="F70">
            <v>0.34629216818664216</v>
          </cell>
        </row>
        <row r="71">
          <cell r="F71">
            <v>558973.42464903265</v>
          </cell>
        </row>
        <row r="72">
          <cell r="F72">
            <v>14710</v>
          </cell>
        </row>
        <row r="73">
          <cell r="F73">
            <v>5106.0500443060755</v>
          </cell>
        </row>
        <row r="74">
          <cell r="F74">
            <v>5781.3240279046004</v>
          </cell>
        </row>
        <row r="79">
          <cell r="F79">
            <v>0.39888753019634721</v>
          </cell>
        </row>
        <row r="80">
          <cell r="F80">
            <v>119237.09550102733</v>
          </cell>
        </row>
        <row r="81">
          <cell r="F81">
            <v>10699</v>
          </cell>
        </row>
        <row r="82">
          <cell r="F82">
            <v>4384.4883815758594</v>
          </cell>
        </row>
        <row r="83">
          <cell r="F83">
            <v>958.87281905578948</v>
          </cell>
        </row>
        <row r="89">
          <cell r="F89">
            <v>0</v>
          </cell>
        </row>
        <row r="90">
          <cell r="F90">
            <v>0</v>
          </cell>
        </row>
        <row r="91">
          <cell r="F91">
            <v>0</v>
          </cell>
        </row>
        <row r="92">
          <cell r="F92">
            <v>0</v>
          </cell>
        </row>
        <row r="108">
          <cell r="F108">
            <v>0.45136877317134649</v>
          </cell>
        </row>
        <row r="110">
          <cell r="F110">
            <v>15062</v>
          </cell>
        </row>
        <row r="111">
          <cell r="F111">
            <v>6798.5164615068206</v>
          </cell>
        </row>
        <row r="115">
          <cell r="F115">
            <v>0.43800759958296298</v>
          </cell>
        </row>
        <row r="117">
          <cell r="F117">
            <v>4425</v>
          </cell>
        </row>
        <row r="118">
          <cell r="F118">
            <v>1938.1836281546111</v>
          </cell>
        </row>
      </sheetData>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LD_2007"/>
      <sheetName val="Utilisation"/>
      <sheetName val="U6"/>
      <sheetName val="U5"/>
      <sheetName val="lookup"/>
      <sheetName val="U4"/>
      <sheetName val="Lookup old"/>
      <sheetName val="U3"/>
      <sheetName val="U2"/>
    </sheetNames>
    <sheetDataSet>
      <sheetData sheetId="0"/>
      <sheetData sheetId="1">
        <row r="2">
          <cell r="N2">
            <v>691.87599999999998</v>
          </cell>
        </row>
        <row r="19">
          <cell r="F19">
            <v>0.42948139654495371</v>
          </cell>
        </row>
        <row r="22">
          <cell r="F22">
            <v>0.35498737025770716</v>
          </cell>
        </row>
        <row r="24">
          <cell r="F24">
            <v>21138</v>
          </cell>
        </row>
        <row r="25">
          <cell r="F25">
            <v>9078.3777601672318</v>
          </cell>
        </row>
        <row r="26">
          <cell r="F26">
            <v>91472.3</v>
          </cell>
        </row>
        <row r="27">
          <cell r="F27">
            <v>31847.863169751075</v>
          </cell>
        </row>
        <row r="28">
          <cell r="F28">
            <v>13003.688732398459</v>
          </cell>
        </row>
        <row r="29">
          <cell r="F29">
            <v>5053929.2275507227</v>
          </cell>
        </row>
        <row r="35">
          <cell r="F35">
            <v>0</v>
          </cell>
        </row>
        <row r="36">
          <cell r="F36">
            <v>0</v>
          </cell>
        </row>
        <row r="37">
          <cell r="F37">
            <v>0</v>
          </cell>
        </row>
        <row r="38">
          <cell r="F38">
            <v>0</v>
          </cell>
        </row>
        <row r="43">
          <cell r="F43">
            <v>0.1952258475487415</v>
          </cell>
        </row>
        <row r="44">
          <cell r="F44">
            <v>370122.01662366622</v>
          </cell>
        </row>
        <row r="45">
          <cell r="F45">
            <v>8226</v>
          </cell>
        </row>
        <row r="46">
          <cell r="F46">
            <v>1848.7072689201245</v>
          </cell>
        </row>
        <row r="47">
          <cell r="F47">
            <v>320.65945154387333</v>
          </cell>
        </row>
        <row r="52">
          <cell r="F52">
            <v>0.37683008589322814</v>
          </cell>
        </row>
        <row r="53">
          <cell r="F53">
            <v>4037440.0834536701</v>
          </cell>
        </row>
        <row r="54">
          <cell r="F54">
            <v>56476</v>
          </cell>
        </row>
        <row r="55">
          <cell r="F55">
            <v>21008.561485073435</v>
          </cell>
        </row>
        <row r="56">
          <cell r="F56">
            <v>6291.0407147965543</v>
          </cell>
        </row>
        <row r="62">
          <cell r="F62">
            <v>0</v>
          </cell>
        </row>
        <row r="63">
          <cell r="F63">
            <v>0</v>
          </cell>
        </row>
        <row r="64">
          <cell r="F64">
            <v>0</v>
          </cell>
        </row>
        <row r="65">
          <cell r="F65">
            <v>0</v>
          </cell>
        </row>
        <row r="70">
          <cell r="F70">
            <v>0.31532163939276509</v>
          </cell>
        </row>
        <row r="71">
          <cell r="F71">
            <v>542888.35812402004</v>
          </cell>
        </row>
        <row r="72">
          <cell r="F72">
            <v>15103.3</v>
          </cell>
        </row>
        <row r="73">
          <cell r="F73">
            <v>5091.7176554591506</v>
          </cell>
        </row>
        <row r="74">
          <cell r="F74">
            <v>5543.096091018253</v>
          </cell>
        </row>
        <row r="79">
          <cell r="F79">
            <v>0.28228322796196081</v>
          </cell>
        </row>
        <row r="80">
          <cell r="F80">
            <v>103478.76934936698</v>
          </cell>
        </row>
        <row r="81">
          <cell r="F81">
            <v>11667</v>
          </cell>
        </row>
        <row r="82">
          <cell r="F82">
            <v>3898.8767602983512</v>
          </cell>
        </row>
        <row r="83">
          <cell r="F83">
            <v>848.89247503979084</v>
          </cell>
        </row>
        <row r="89">
          <cell r="F89">
            <v>0</v>
          </cell>
        </row>
        <row r="90">
          <cell r="F90">
            <v>0</v>
          </cell>
        </row>
        <row r="91">
          <cell r="F91">
            <v>0</v>
          </cell>
        </row>
        <row r="92">
          <cell r="F92">
            <v>0</v>
          </cell>
        </row>
        <row r="108">
          <cell r="F108">
            <v>0.43162557844641647</v>
          </cell>
        </row>
        <row r="110">
          <cell r="F110">
            <v>16225</v>
          </cell>
        </row>
        <row r="111">
          <cell r="F111">
            <v>7003.1250102931072</v>
          </cell>
        </row>
        <row r="115">
          <cell r="F115">
            <v>0.42240031546389639</v>
          </cell>
        </row>
        <row r="117">
          <cell r="F117">
            <v>4913</v>
          </cell>
        </row>
        <row r="118">
          <cell r="F118">
            <v>2075.2527498741229</v>
          </cell>
        </row>
      </sheetData>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LD_2008"/>
      <sheetName val="Utilisation"/>
      <sheetName val="U6"/>
      <sheetName val="U5"/>
      <sheetName val="lookup"/>
      <sheetName val="U4"/>
      <sheetName val="Lookup old"/>
      <sheetName val="U3"/>
      <sheetName val="U2"/>
    </sheetNames>
    <sheetDataSet>
      <sheetData sheetId="0"/>
      <sheetData sheetId="1">
        <row r="2">
          <cell r="N2">
            <v>123.285</v>
          </cell>
        </row>
        <row r="19">
          <cell r="F19">
            <v>0.37632912823100223</v>
          </cell>
        </row>
        <row r="22">
          <cell r="F22">
            <v>0.28079739380506263</v>
          </cell>
        </row>
        <row r="24">
          <cell r="F24">
            <v>24923</v>
          </cell>
        </row>
        <row r="25">
          <cell r="F25">
            <v>9379.2508629012682</v>
          </cell>
        </row>
        <row r="26">
          <cell r="F26">
            <v>104480</v>
          </cell>
        </row>
        <row r="27">
          <cell r="F27">
            <v>29795.228820029512</v>
          </cell>
        </row>
        <row r="28">
          <cell r="F28">
            <v>13608.462582021573</v>
          </cell>
        </row>
        <row r="29">
          <cell r="F29">
            <v>5915893.2864621272</v>
          </cell>
        </row>
        <row r="35">
          <cell r="F35">
            <v>0</v>
          </cell>
        </row>
        <row r="36">
          <cell r="F36">
            <v>0</v>
          </cell>
        </row>
        <row r="37">
          <cell r="F37">
            <v>0</v>
          </cell>
        </row>
        <row r="38">
          <cell r="F38">
            <v>0</v>
          </cell>
        </row>
        <row r="43">
          <cell r="F43">
            <v>0.23058819811220768</v>
          </cell>
        </row>
        <row r="44">
          <cell r="F44">
            <v>485972.07170332759</v>
          </cell>
        </row>
        <row r="45">
          <cell r="F45">
            <v>9472</v>
          </cell>
        </row>
        <row r="46">
          <cell r="F46">
            <v>2479.2928908301224</v>
          </cell>
        </row>
        <row r="47">
          <cell r="F47">
            <v>413.63702383894673</v>
          </cell>
        </row>
        <row r="52">
          <cell r="F52">
            <v>0.28718577344489565</v>
          </cell>
        </row>
        <row r="53">
          <cell r="F53">
            <v>4760870.2931522066</v>
          </cell>
        </row>
        <row r="54">
          <cell r="F54">
            <v>65662</v>
          </cell>
        </row>
        <row r="55">
          <cell r="F55">
            <v>19202.306014137263</v>
          </cell>
        </row>
        <row r="56">
          <cell r="F56">
            <v>6817.4438190854344</v>
          </cell>
        </row>
        <row r="62">
          <cell r="F62">
            <v>0</v>
          </cell>
        </row>
        <row r="63">
          <cell r="F63">
            <v>0</v>
          </cell>
        </row>
        <row r="64">
          <cell r="F64">
            <v>0</v>
          </cell>
        </row>
        <row r="65">
          <cell r="F65">
            <v>0</v>
          </cell>
        </row>
        <row r="70">
          <cell r="F70">
            <v>0.26559409500685766</v>
          </cell>
        </row>
        <row r="71">
          <cell r="F71">
            <v>572244.38820118888</v>
          </cell>
        </row>
        <row r="72">
          <cell r="F72">
            <v>16769</v>
          </cell>
        </row>
        <row r="73">
          <cell r="F73">
            <v>4519.587204896442</v>
          </cell>
        </row>
        <row r="74">
          <cell r="F74">
            <v>5609.3662151231656</v>
          </cell>
        </row>
        <row r="79">
          <cell r="F79">
            <v>0.3085436865983972</v>
          </cell>
        </row>
        <row r="80">
          <cell r="F80">
            <v>96806.533405404567</v>
          </cell>
        </row>
        <row r="81">
          <cell r="F81">
            <v>12577</v>
          </cell>
        </row>
        <row r="82">
          <cell r="F82">
            <v>3594.0427101656978</v>
          </cell>
        </row>
        <row r="83">
          <cell r="F83">
            <v>768.01552397403873</v>
          </cell>
        </row>
        <row r="89">
          <cell r="F89">
            <v>0</v>
          </cell>
        </row>
        <row r="90">
          <cell r="F90">
            <v>0</v>
          </cell>
        </row>
        <row r="91">
          <cell r="F91">
            <v>0</v>
          </cell>
        </row>
        <row r="92">
          <cell r="F92">
            <v>0</v>
          </cell>
        </row>
        <row r="108">
          <cell r="F108">
            <v>0.38593420098430842</v>
          </cell>
        </row>
        <row r="110">
          <cell r="F110">
            <v>19507</v>
          </cell>
        </row>
        <row r="111">
          <cell r="F111">
            <v>7528.4184586009042</v>
          </cell>
        </row>
        <row r="115">
          <cell r="F115">
            <v>0.3417341957718541</v>
          </cell>
        </row>
        <row r="117">
          <cell r="F117">
            <v>5416</v>
          </cell>
        </row>
        <row r="118">
          <cell r="F118">
            <v>1850.8324043003618</v>
          </cell>
        </row>
      </sheetData>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LD_2009"/>
      <sheetName val="Utilisation"/>
      <sheetName val="lookup"/>
      <sheetName val="U8"/>
      <sheetName val="Lookup old3"/>
      <sheetName val="U7"/>
      <sheetName val="U6"/>
      <sheetName val="U5"/>
      <sheetName val="Lookup old2"/>
      <sheetName val="U4"/>
      <sheetName val="Lookup old"/>
      <sheetName val="U3"/>
      <sheetName val="U2"/>
    </sheetNames>
    <sheetDataSet>
      <sheetData sheetId="0"/>
      <sheetData sheetId="1">
        <row r="2">
          <cell r="N2">
            <v>213.089</v>
          </cell>
        </row>
        <row r="19">
          <cell r="F19">
            <v>0.37371992498004164</v>
          </cell>
        </row>
        <row r="22">
          <cell r="F22">
            <v>0.2824545347274266</v>
          </cell>
        </row>
        <row r="24">
          <cell r="F24">
            <v>25698</v>
          </cell>
        </row>
        <row r="25">
          <cell r="F25">
            <v>9603.8546321371105</v>
          </cell>
        </row>
        <row r="26">
          <cell r="F26">
            <v>112962</v>
          </cell>
        </row>
        <row r="27">
          <cell r="F27">
            <v>31531.058889664142</v>
          </cell>
        </row>
        <row r="28">
          <cell r="F28">
            <v>14073.608088955378</v>
          </cell>
        </row>
        <row r="29">
          <cell r="F29">
            <v>6285138.4229592374</v>
          </cell>
        </row>
        <row r="35">
          <cell r="F35">
            <v>0</v>
          </cell>
        </row>
        <row r="36">
          <cell r="F36">
            <v>0</v>
          </cell>
        </row>
        <row r="37">
          <cell r="F37">
            <v>0</v>
          </cell>
        </row>
        <row r="38">
          <cell r="F38">
            <v>0</v>
          </cell>
        </row>
        <row r="43">
          <cell r="F43">
            <v>0.32444054541250239</v>
          </cell>
        </row>
        <row r="44">
          <cell r="F44">
            <v>485972.07170332759</v>
          </cell>
        </row>
        <row r="45">
          <cell r="F45">
            <v>9472</v>
          </cell>
        </row>
        <row r="46">
          <cell r="F46">
            <v>3024.0688471888898</v>
          </cell>
        </row>
        <row r="47">
          <cell r="F47">
            <v>413.63702383894673</v>
          </cell>
        </row>
        <row r="52">
          <cell r="F52">
            <v>0.28130096106764901</v>
          </cell>
        </row>
        <row r="53">
          <cell r="F53">
            <v>5068743.4162610108</v>
          </cell>
        </row>
        <row r="54">
          <cell r="F54">
            <v>70158</v>
          </cell>
        </row>
        <row r="55">
          <cell r="F55">
            <v>19770.858167650618</v>
          </cell>
        </row>
        <row r="56">
          <cell r="F56">
            <v>6989.1236710725425</v>
          </cell>
        </row>
        <row r="62">
          <cell r="F62">
            <v>0</v>
          </cell>
        </row>
        <row r="63">
          <cell r="F63">
            <v>0</v>
          </cell>
        </row>
        <row r="64">
          <cell r="F64">
            <v>0</v>
          </cell>
        </row>
        <row r="65">
          <cell r="F65">
            <v>0</v>
          </cell>
        </row>
        <row r="70">
          <cell r="F70">
            <v>0.25593780651675452</v>
          </cell>
        </row>
        <row r="71">
          <cell r="F71">
            <v>627764.63937891671</v>
          </cell>
        </row>
        <row r="72">
          <cell r="F72">
            <v>19862</v>
          </cell>
        </row>
        <row r="73">
          <cell r="F73">
            <v>4809.15566139762</v>
          </cell>
        </row>
        <row r="74">
          <cell r="F74">
            <v>5870.8618378313122</v>
          </cell>
        </row>
        <row r="79">
          <cell r="F79">
            <v>0.30280753794191323</v>
          </cell>
        </row>
        <row r="80">
          <cell r="F80">
            <v>102658.29561598242</v>
          </cell>
        </row>
        <row r="81">
          <cell r="F81">
            <v>13470</v>
          </cell>
        </row>
        <row r="82">
          <cell r="F82">
            <v>3926.9762134270204</v>
          </cell>
        </row>
        <row r="83">
          <cell r="F83">
            <v>799.98555621259254</v>
          </cell>
        </row>
        <row r="89">
          <cell r="F89">
            <v>0</v>
          </cell>
        </row>
        <row r="90">
          <cell r="F90">
            <v>0</v>
          </cell>
        </row>
        <row r="91">
          <cell r="F91">
            <v>0</v>
          </cell>
        </row>
        <row r="92">
          <cell r="F92">
            <v>0</v>
          </cell>
        </row>
        <row r="108">
          <cell r="F108">
            <v>0.38183897611809015</v>
          </cell>
        </row>
        <row r="110">
          <cell r="F110">
            <v>20074</v>
          </cell>
        </row>
        <row r="111">
          <cell r="F111">
            <v>7665.0356065945416</v>
          </cell>
        </row>
        <row r="115">
          <cell r="F115">
            <v>0.34474022502535062</v>
          </cell>
        </row>
        <row r="117">
          <cell r="F117">
            <v>5624</v>
          </cell>
        </row>
        <row r="118">
          <cell r="F118">
            <v>1938.819025542572</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LD_2010"/>
      <sheetName val="Utilisation"/>
      <sheetName val="lookup"/>
      <sheetName val="U8"/>
      <sheetName val="U6"/>
      <sheetName val="U5"/>
      <sheetName val="Lookup old3"/>
      <sheetName val="U4"/>
      <sheetName val="Lookup old"/>
      <sheetName val="U3"/>
      <sheetName val="U2"/>
      <sheetName val="Utilisation old"/>
    </sheetNames>
    <sheetDataSet>
      <sheetData sheetId="0"/>
      <sheetData sheetId="1">
        <row r="2">
          <cell r="N2">
            <v>165.88</v>
          </cell>
        </row>
        <row r="19">
          <cell r="F19">
            <v>0.36296960365672348</v>
          </cell>
        </row>
        <row r="22">
          <cell r="F22">
            <v>0.2855765245400021</v>
          </cell>
        </row>
        <row r="24">
          <cell r="F24">
            <v>25698</v>
          </cell>
        </row>
        <row r="25">
          <cell r="F25">
            <v>9327.5928747704802</v>
          </cell>
        </row>
        <row r="26">
          <cell r="F26">
            <v>109307</v>
          </cell>
        </row>
        <row r="27">
          <cell r="F27">
            <v>32292.23375828797</v>
          </cell>
        </row>
        <row r="28">
          <cell r="F28">
            <v>13653.39136395495</v>
          </cell>
        </row>
        <row r="29">
          <cell r="F29">
            <v>6045711.0377402715</v>
          </cell>
        </row>
        <row r="35">
          <cell r="F35">
            <v>0</v>
          </cell>
        </row>
        <row r="36">
          <cell r="F36">
            <v>0</v>
          </cell>
        </row>
        <row r="37">
          <cell r="F37">
            <v>0</v>
          </cell>
        </row>
        <row r="38">
          <cell r="F38">
            <v>0</v>
          </cell>
        </row>
        <row r="43">
          <cell r="F43">
            <v>0.31976764265797403</v>
          </cell>
        </row>
        <row r="44">
          <cell r="F44">
            <v>485972.07170332759</v>
          </cell>
        </row>
        <row r="45">
          <cell r="F45">
            <v>9472</v>
          </cell>
        </row>
        <row r="46">
          <cell r="F46">
            <v>2829.6997955195234</v>
          </cell>
        </row>
        <row r="47">
          <cell r="F47">
            <v>413.63702383894673</v>
          </cell>
        </row>
        <row r="52">
          <cell r="F52">
            <v>0.28179922800397778</v>
          </cell>
        </row>
        <row r="53">
          <cell r="F53">
            <v>4836220.6486407341</v>
          </cell>
        </row>
        <row r="54">
          <cell r="F54">
            <v>66576</v>
          </cell>
        </row>
        <row r="55">
          <cell r="F55">
            <v>19707.411236167794</v>
          </cell>
        </row>
        <row r="56">
          <cell r="F56">
            <v>6608.5595023612541</v>
          </cell>
        </row>
        <row r="62">
          <cell r="F62">
            <v>0</v>
          </cell>
        </row>
        <row r="63">
          <cell r="F63">
            <v>0</v>
          </cell>
        </row>
        <row r="64">
          <cell r="F64">
            <v>0</v>
          </cell>
        </row>
        <row r="65">
          <cell r="F65">
            <v>0</v>
          </cell>
        </row>
        <row r="70">
          <cell r="F70">
            <v>0.28230434133128629</v>
          </cell>
        </row>
        <row r="71">
          <cell r="F71">
            <v>620162.42178022582</v>
          </cell>
        </row>
        <row r="72">
          <cell r="F72">
            <v>19773</v>
          </cell>
        </row>
        <row r="73">
          <cell r="F73">
            <v>5377.0568341628741</v>
          </cell>
        </row>
        <row r="74">
          <cell r="F74">
            <v>5831.2092815421702</v>
          </cell>
        </row>
        <row r="79">
          <cell r="F79">
            <v>0.32119322583413468</v>
          </cell>
        </row>
        <row r="80">
          <cell r="F80">
            <v>103355.8956159824</v>
          </cell>
        </row>
        <row r="81">
          <cell r="F81">
            <v>13486</v>
          </cell>
        </row>
        <row r="82">
          <cell r="F82">
            <v>4378.0658924377658</v>
          </cell>
        </row>
        <row r="83">
          <cell r="F83">
            <v>799.98555621259254</v>
          </cell>
        </row>
        <row r="89">
          <cell r="F89">
            <v>0</v>
          </cell>
        </row>
        <row r="90">
          <cell r="F90">
            <v>0</v>
          </cell>
        </row>
        <row r="91">
          <cell r="F91">
            <v>0</v>
          </cell>
        </row>
        <row r="92">
          <cell r="F92">
            <v>0</v>
          </cell>
        </row>
        <row r="108">
          <cell r="F108">
            <v>0.36807367580108263</v>
          </cell>
        </row>
        <row r="110">
          <cell r="F110">
            <v>20074</v>
          </cell>
        </row>
        <row r="111">
          <cell r="F111">
            <v>7388.7109680309331</v>
          </cell>
        </row>
        <row r="115">
          <cell r="F115">
            <v>0.34475140589252318</v>
          </cell>
        </row>
        <row r="117">
          <cell r="F117">
            <v>5624</v>
          </cell>
        </row>
        <row r="118">
          <cell r="F118">
            <v>1938.8819067395502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LD_2011"/>
      <sheetName val="Utilisation"/>
      <sheetName val="U6"/>
      <sheetName val="U5"/>
      <sheetName val="lookup"/>
      <sheetName val="U4"/>
      <sheetName val="Lookup old"/>
      <sheetName val="U3"/>
      <sheetName val="U2"/>
      <sheetName val="Utilisation old"/>
    </sheetNames>
    <sheetDataSet>
      <sheetData sheetId="0"/>
      <sheetData sheetId="1">
        <row r="2">
          <cell r="N2">
            <v>690.53899999999999</v>
          </cell>
        </row>
        <row r="19">
          <cell r="F19">
            <v>0.37097479329123501</v>
          </cell>
        </row>
        <row r="22">
          <cell r="F22">
            <v>0.27150125497270294</v>
          </cell>
        </row>
        <row r="24">
          <cell r="F24">
            <v>27543</v>
          </cell>
        </row>
        <row r="25">
          <cell r="F25">
            <v>10217.758731620486</v>
          </cell>
        </row>
        <row r="26">
          <cell r="F26">
            <v>116366.34700000001</v>
          </cell>
        </row>
        <row r="27">
          <cell r="F27">
            <v>32561.001390966438</v>
          </cell>
        </row>
        <row r="28">
          <cell r="F28">
            <v>13842.231289447438</v>
          </cell>
        </row>
        <row r="29">
          <cell r="F29">
            <v>6426353.1648957329</v>
          </cell>
        </row>
        <row r="35">
          <cell r="F35">
            <v>0</v>
          </cell>
        </row>
        <row r="36">
          <cell r="F36">
            <v>0</v>
          </cell>
        </row>
        <row r="37">
          <cell r="F37">
            <v>0</v>
          </cell>
        </row>
        <row r="38">
          <cell r="F38">
            <v>0</v>
          </cell>
        </row>
        <row r="43">
          <cell r="F43">
            <v>0.40735064604279975</v>
          </cell>
        </row>
        <row r="44">
          <cell r="F44">
            <v>485972.07170332759</v>
          </cell>
        </row>
        <row r="45">
          <cell r="F45">
            <v>9472</v>
          </cell>
        </row>
        <row r="46">
          <cell r="F46">
            <v>3364.2043830985617</v>
          </cell>
        </row>
        <row r="47">
          <cell r="F47">
            <v>413.63702383894673</v>
          </cell>
        </row>
        <row r="52">
          <cell r="F52">
            <v>0.26323384781718667</v>
          </cell>
        </row>
        <row r="53">
          <cell r="F53">
            <v>5186715.9925286584</v>
          </cell>
        </row>
        <row r="54">
          <cell r="F54">
            <v>69057.114000000001</v>
          </cell>
        </row>
        <row r="55">
          <cell r="F55">
            <v>19398.39130406026</v>
          </cell>
        </row>
        <row r="56">
          <cell r="F56">
            <v>6765.060019214674</v>
          </cell>
        </row>
        <row r="62">
          <cell r="F62">
            <v>0</v>
          </cell>
        </row>
        <row r="63">
          <cell r="F63">
            <v>0</v>
          </cell>
        </row>
        <row r="64">
          <cell r="F64">
            <v>0</v>
          </cell>
        </row>
        <row r="65">
          <cell r="F65">
            <v>0</v>
          </cell>
        </row>
        <row r="70">
          <cell r="F70">
            <v>0.22717379679379268</v>
          </cell>
        </row>
        <row r="71">
          <cell r="F71">
            <v>621954.12201583525</v>
          </cell>
        </row>
        <row r="72">
          <cell r="F72">
            <v>21139.233</v>
          </cell>
        </row>
        <row r="73">
          <cell r="F73">
            <v>4714.7582209924576</v>
          </cell>
        </row>
        <row r="74">
          <cell r="F74">
            <v>5695.3332627547934</v>
          </cell>
        </row>
        <row r="79">
          <cell r="F79">
            <v>0.30514558948938236</v>
          </cell>
        </row>
        <row r="80">
          <cell r="F80">
            <v>131710.97864791148</v>
          </cell>
        </row>
        <row r="81">
          <cell r="F81">
            <v>16698</v>
          </cell>
        </row>
        <row r="82">
          <cell r="F82">
            <v>5083.6474828151495</v>
          </cell>
        </row>
        <row r="83">
          <cell r="F83">
            <v>968.20098363903628</v>
          </cell>
        </row>
        <row r="89">
          <cell r="F89">
            <v>0</v>
          </cell>
        </row>
        <row r="90">
          <cell r="F90">
            <v>0</v>
          </cell>
        </row>
        <row r="91">
          <cell r="F91">
            <v>0</v>
          </cell>
        </row>
        <row r="92">
          <cell r="F92">
            <v>0</v>
          </cell>
        </row>
        <row r="108">
          <cell r="F108">
            <v>0.38144490417761096</v>
          </cell>
        </row>
        <row r="110">
          <cell r="F110">
            <v>21919</v>
          </cell>
        </row>
        <row r="111">
          <cell r="F111">
            <v>8360.8908546690545</v>
          </cell>
        </row>
        <row r="115">
          <cell r="F115">
            <v>0.33016854142095137</v>
          </cell>
        </row>
        <row r="117">
          <cell r="F117">
            <v>5624</v>
          </cell>
        </row>
        <row r="118">
          <cell r="F118">
            <v>1856.8678769514304</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C_2007"/>
      <sheetName val="Utilisation"/>
      <sheetName val="U6"/>
      <sheetName val="U5"/>
      <sheetName val="lookup"/>
      <sheetName val="U4"/>
      <sheetName val="Lookup old"/>
      <sheetName val="U3"/>
      <sheetName val="U2"/>
    </sheetNames>
    <sheetDataSet>
      <sheetData sheetId="0"/>
      <sheetData sheetId="1">
        <row r="2">
          <cell r="N2">
            <v>-138.364</v>
          </cell>
        </row>
        <row r="19">
          <cell r="D19">
            <v>0.66225751394349719</v>
          </cell>
        </row>
        <row r="22">
          <cell r="D22">
            <v>0.31859880476708113</v>
          </cell>
        </row>
        <row r="24">
          <cell r="D24">
            <v>21801</v>
          </cell>
        </row>
        <row r="25">
          <cell r="D25">
            <v>14437.876061482182</v>
          </cell>
        </row>
        <row r="26">
          <cell r="D26">
            <v>95618.122000000003</v>
          </cell>
        </row>
        <row r="27">
          <cell r="D27">
            <v>30318.293262583094</v>
          </cell>
        </row>
        <row r="28">
          <cell r="D28">
            <v>6009.0587683872445</v>
          </cell>
        </row>
        <row r="29">
          <cell r="D29">
            <v>5653223.306620813</v>
          </cell>
        </row>
        <row r="34">
          <cell r="D34">
            <v>0.26792068926981993</v>
          </cell>
        </row>
        <row r="35">
          <cell r="D35">
            <v>3706216.1914557279</v>
          </cell>
        </row>
        <row r="36">
          <cell r="D36">
            <v>49078.3</v>
          </cell>
        </row>
        <row r="37">
          <cell r="D37">
            <v>13935.415610999775</v>
          </cell>
        </row>
        <row r="38">
          <cell r="D38">
            <v>1446.1046617137413</v>
          </cell>
        </row>
        <row r="43">
          <cell r="D43">
            <v>0.56300929415099366</v>
          </cell>
        </row>
        <row r="44">
          <cell r="D44">
            <v>659920.49858170748</v>
          </cell>
        </row>
        <row r="45">
          <cell r="D45">
            <v>4642.7709999999997</v>
          </cell>
        </row>
        <row r="46">
          <cell r="D46">
            <v>2462.7973759088941</v>
          </cell>
        </row>
        <row r="47">
          <cell r="D47">
            <v>724.03326534134681</v>
          </cell>
        </row>
        <row r="53">
          <cell r="D53">
            <v>0</v>
          </cell>
        </row>
        <row r="54">
          <cell r="D54">
            <v>0</v>
          </cell>
        </row>
        <row r="55">
          <cell r="D55">
            <v>0</v>
          </cell>
        </row>
        <row r="56">
          <cell r="D56">
            <v>0</v>
          </cell>
        </row>
        <row r="61">
          <cell r="D61">
            <v>0.3388591210550681</v>
          </cell>
        </row>
        <row r="62">
          <cell r="D62">
            <v>1274326.1288028131</v>
          </cell>
        </row>
        <row r="63">
          <cell r="D63">
            <v>40664.050999999999</v>
          </cell>
        </row>
        <row r="64">
          <cell r="D64">
            <v>13459.782843865176</v>
          </cell>
        </row>
        <row r="65">
          <cell r="D65">
            <v>3634.4320796987099</v>
          </cell>
        </row>
        <row r="71">
          <cell r="D71">
            <v>0</v>
          </cell>
        </row>
        <row r="72">
          <cell r="D72">
            <v>0</v>
          </cell>
        </row>
        <row r="73">
          <cell r="D73">
            <v>0</v>
          </cell>
        </row>
        <row r="74">
          <cell r="D74">
            <v>0</v>
          </cell>
        </row>
        <row r="80">
          <cell r="D80">
            <v>0</v>
          </cell>
        </row>
        <row r="81">
          <cell r="D81">
            <v>0</v>
          </cell>
        </row>
        <row r="82">
          <cell r="D82">
            <v>0</v>
          </cell>
        </row>
        <row r="83">
          <cell r="D83">
            <v>0</v>
          </cell>
        </row>
        <row r="88">
          <cell r="D88">
            <v>0.3745770545233269</v>
          </cell>
        </row>
        <row r="89">
          <cell r="D89">
            <v>12760.487780561323</v>
          </cell>
        </row>
        <row r="90">
          <cell r="D90">
            <v>1233</v>
          </cell>
        </row>
        <row r="91">
          <cell r="D91">
            <v>460.29743180925226</v>
          </cell>
        </row>
        <row r="92">
          <cell r="D92">
            <v>204.48876163344772</v>
          </cell>
        </row>
        <row r="108">
          <cell r="D108">
            <v>0.66973456145526011</v>
          </cell>
        </row>
        <row r="110">
          <cell r="D110">
            <v>11775</v>
          </cell>
        </row>
        <row r="111">
          <cell r="D111">
            <v>7886.1244611356879</v>
          </cell>
        </row>
        <row r="115">
          <cell r="D115">
            <v>0.65347612211714501</v>
          </cell>
        </row>
        <row r="117">
          <cell r="D117">
            <v>10026</v>
          </cell>
        </row>
        <row r="118">
          <cell r="D118">
            <v>6551.7516003464962</v>
          </cell>
        </row>
      </sheetData>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C_2008"/>
      <sheetName val="Utilisation"/>
      <sheetName val="U6"/>
      <sheetName val="U5"/>
      <sheetName val="lookup"/>
      <sheetName val="U4"/>
      <sheetName val="Lookup old"/>
      <sheetName val="U3"/>
      <sheetName val="U2"/>
    </sheetNames>
    <sheetDataSet>
      <sheetData sheetId="0"/>
      <sheetData sheetId="1">
        <row r="2">
          <cell r="N2">
            <v>-461.37099999999998</v>
          </cell>
        </row>
        <row r="19">
          <cell r="D19">
            <v>0.62107250137989856</v>
          </cell>
        </row>
        <row r="22">
          <cell r="D22">
            <v>0.33809835212515682</v>
          </cell>
        </row>
        <row r="24">
          <cell r="D24">
            <v>23020</v>
          </cell>
        </row>
        <row r="25">
          <cell r="D25">
            <v>14297.088981765264</v>
          </cell>
        </row>
        <row r="26">
          <cell r="D26">
            <v>95629.931999999957</v>
          </cell>
        </row>
        <row r="27">
          <cell r="D27">
            <v>32309.762674854763</v>
          </cell>
        </row>
        <row r="28">
          <cell r="D28">
            <v>6074.455565839633</v>
          </cell>
        </row>
        <row r="29">
          <cell r="D29">
            <v>5664937.3729184698</v>
          </cell>
        </row>
        <row r="34">
          <cell r="D34">
            <v>0.30579019244523281</v>
          </cell>
        </row>
        <row r="35">
          <cell r="D35">
            <v>3670105.0314557273</v>
          </cell>
        </row>
        <row r="36">
          <cell r="D36">
            <v>47922.3</v>
          </cell>
        </row>
        <row r="37">
          <cell r="D37">
            <v>15365.026317367436</v>
          </cell>
        </row>
        <row r="38">
          <cell r="D38">
            <v>1446.1046617137413</v>
          </cell>
        </row>
        <row r="43">
          <cell r="D43">
            <v>0.46328432340187087</v>
          </cell>
        </row>
        <row r="44">
          <cell r="D44">
            <v>687421.26138170739</v>
          </cell>
        </row>
        <row r="45">
          <cell r="D45">
            <v>4811.2469999999994</v>
          </cell>
        </row>
        <row r="46">
          <cell r="D46">
            <v>2101.7095191944863</v>
          </cell>
        </row>
        <row r="47">
          <cell r="D47">
            <v>724.03326534134681</v>
          </cell>
        </row>
        <row r="53">
          <cell r="D53">
            <v>0</v>
          </cell>
        </row>
        <row r="54">
          <cell r="D54">
            <v>0</v>
          </cell>
        </row>
        <row r="55">
          <cell r="D55">
            <v>0</v>
          </cell>
        </row>
        <row r="56">
          <cell r="D56">
            <v>0</v>
          </cell>
        </row>
        <row r="61">
          <cell r="D61">
            <v>0.36329596044203943</v>
          </cell>
        </row>
        <row r="62">
          <cell r="D62">
            <v>1292401.3965121086</v>
          </cell>
        </row>
        <row r="63">
          <cell r="D63">
            <v>41705.184999999983</v>
          </cell>
        </row>
        <row r="64">
          <cell r="D64">
            <v>14395.512035328957</v>
          </cell>
        </row>
        <row r="65">
          <cell r="D65">
            <v>3620.9880858361948</v>
          </cell>
        </row>
        <row r="71">
          <cell r="D71">
            <v>0</v>
          </cell>
        </row>
        <row r="72">
          <cell r="D72">
            <v>0</v>
          </cell>
        </row>
        <row r="73">
          <cell r="D73">
            <v>0</v>
          </cell>
        </row>
        <row r="74">
          <cell r="D74">
            <v>0</v>
          </cell>
        </row>
        <row r="80">
          <cell r="D80">
            <v>0</v>
          </cell>
        </row>
        <row r="81">
          <cell r="D81">
            <v>0</v>
          </cell>
        </row>
        <row r="82">
          <cell r="D82">
            <v>0</v>
          </cell>
        </row>
        <row r="83">
          <cell r="D83">
            <v>0</v>
          </cell>
        </row>
        <row r="88">
          <cell r="D88">
            <v>0.33499481824597283</v>
          </cell>
        </row>
        <row r="89">
          <cell r="D89">
            <v>15009.6835689244</v>
          </cell>
        </row>
        <row r="90">
          <cell r="D90">
            <v>1191.2</v>
          </cell>
        </row>
        <row r="91">
          <cell r="D91">
            <v>447.5148029638861</v>
          </cell>
        </row>
        <row r="92">
          <cell r="D92">
            <v>283.32955294835108</v>
          </cell>
        </row>
        <row r="108">
          <cell r="D108">
            <v>0.57311601571657367</v>
          </cell>
        </row>
        <row r="110">
          <cell r="D110">
            <v>12775</v>
          </cell>
        </row>
        <row r="111">
          <cell r="D111">
            <v>7321.5571007792287</v>
          </cell>
        </row>
        <row r="115">
          <cell r="D115">
            <v>0.68087182830512838</v>
          </cell>
        </row>
        <row r="117">
          <cell r="D117">
            <v>10245</v>
          </cell>
        </row>
        <row r="118">
          <cell r="D118">
            <v>6975.5318809860401</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C_2009"/>
      <sheetName val="Utilisation"/>
      <sheetName val="U6"/>
      <sheetName val="U5"/>
      <sheetName val="lookup"/>
      <sheetName val="U4"/>
      <sheetName val="Lookup old"/>
      <sheetName val="U3"/>
      <sheetName val="U2"/>
    </sheetNames>
    <sheetDataSet>
      <sheetData sheetId="0"/>
      <sheetData sheetId="1">
        <row r="2">
          <cell r="N2">
            <v>-249.19499999999999</v>
          </cell>
        </row>
        <row r="19">
          <cell r="D19">
            <v>0.63735980072383669</v>
          </cell>
        </row>
        <row r="22">
          <cell r="D22">
            <v>0.38489103734173313</v>
          </cell>
        </row>
        <row r="24">
          <cell r="D24">
            <v>24321</v>
          </cell>
        </row>
        <row r="25">
          <cell r="D25">
            <v>15501.227713404433</v>
          </cell>
        </row>
        <row r="26">
          <cell r="D26">
            <v>91316.802999999985</v>
          </cell>
        </row>
        <row r="27">
          <cell r="D27">
            <v>34136.096992140483</v>
          </cell>
        </row>
        <row r="28">
          <cell r="D28">
            <v>6069.2123004982859</v>
          </cell>
        </row>
        <row r="29">
          <cell r="D29">
            <v>5427377.6789434766</v>
          </cell>
        </row>
        <row r="34">
          <cell r="D34">
            <v>0.32873161445408461</v>
          </cell>
        </row>
        <row r="35">
          <cell r="D35">
            <v>3597127.8434557277</v>
          </cell>
        </row>
        <row r="36">
          <cell r="D36">
            <v>46621.9</v>
          </cell>
        </row>
        <row r="37">
          <cell r="D37">
            <v>15888.449219218046</v>
          </cell>
        </row>
        <row r="38">
          <cell r="D38">
            <v>1446.1046617137413</v>
          </cell>
        </row>
        <row r="43">
          <cell r="D43">
            <v>0.65572395107311932</v>
          </cell>
        </row>
        <row r="44">
          <cell r="D44">
            <v>628807.18150000006</v>
          </cell>
        </row>
        <row r="45">
          <cell r="D45">
            <v>4449.4549999999999</v>
          </cell>
        </row>
        <row r="46">
          <cell r="D46">
            <v>2714.4528661463628</v>
          </cell>
        </row>
        <row r="47">
          <cell r="D47">
            <v>718.79</v>
          </cell>
        </row>
        <row r="53">
          <cell r="D53">
            <v>0</v>
          </cell>
        </row>
        <row r="54">
          <cell r="D54">
            <v>0</v>
          </cell>
        </row>
        <row r="55">
          <cell r="D55">
            <v>0</v>
          </cell>
        </row>
        <row r="56">
          <cell r="D56">
            <v>0</v>
          </cell>
        </row>
        <row r="61">
          <cell r="D61">
            <v>0.41181651060950447</v>
          </cell>
        </row>
        <row r="62">
          <cell r="D62">
            <v>1186432.9704188225</v>
          </cell>
        </row>
        <row r="63">
          <cell r="D63">
            <v>39054.247999999992</v>
          </cell>
        </row>
        <row r="64">
          <cell r="D64">
            <v>15112.584130894686</v>
          </cell>
        </row>
        <row r="65">
          <cell r="D65">
            <v>3620.9880858361948</v>
          </cell>
        </row>
        <row r="71">
          <cell r="D71">
            <v>0</v>
          </cell>
        </row>
        <row r="72">
          <cell r="D72">
            <v>0</v>
          </cell>
        </row>
        <row r="73">
          <cell r="D73">
            <v>0</v>
          </cell>
        </row>
        <row r="74">
          <cell r="D74">
            <v>0</v>
          </cell>
        </row>
        <row r="80">
          <cell r="D80">
            <v>0</v>
          </cell>
        </row>
        <row r="81">
          <cell r="D81">
            <v>0</v>
          </cell>
        </row>
        <row r="82">
          <cell r="D82">
            <v>0</v>
          </cell>
        </row>
        <row r="83">
          <cell r="D83">
            <v>0</v>
          </cell>
        </row>
        <row r="88">
          <cell r="D88">
            <v>0.36927934058358863</v>
          </cell>
        </row>
        <row r="89">
          <cell r="D89">
            <v>15009.6835689244</v>
          </cell>
        </row>
        <row r="90">
          <cell r="D90">
            <v>1191.2</v>
          </cell>
        </row>
        <row r="91">
          <cell r="D91">
            <v>420.61077588137908</v>
          </cell>
        </row>
        <row r="92">
          <cell r="D92">
            <v>283.32955294835108</v>
          </cell>
        </row>
        <row r="108">
          <cell r="D108">
            <v>0.5776247068845014</v>
          </cell>
        </row>
        <row r="110">
          <cell r="D110">
            <v>13775</v>
          </cell>
        </row>
        <row r="111">
          <cell r="D111">
            <v>7956.7803373340066</v>
          </cell>
        </row>
        <row r="115">
          <cell r="D115">
            <v>0.71538473127919822</v>
          </cell>
        </row>
        <row r="117">
          <cell r="D117">
            <v>10546</v>
          </cell>
        </row>
        <row r="118">
          <cell r="D118">
            <v>7544.4473760704241</v>
          </cell>
        </row>
      </sheetData>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isation"/>
      <sheetName val="VIC_2010"/>
      <sheetName val="lookup"/>
    </sheetNames>
    <sheetDataSet>
      <sheetData sheetId="0">
        <row r="2">
          <cell r="N2">
            <v>-202.35899999999998</v>
          </cell>
        </row>
        <row r="19">
          <cell r="D19">
            <v>0.58097266540380588</v>
          </cell>
        </row>
        <row r="22">
          <cell r="D22">
            <v>0.34079536215766537</v>
          </cell>
        </row>
        <row r="24">
          <cell r="D24">
            <v>24380</v>
          </cell>
        </row>
        <row r="25">
          <cell r="D25">
            <v>14164.113582544787</v>
          </cell>
        </row>
        <row r="26">
          <cell r="D26">
            <v>93978.232999999993</v>
          </cell>
        </row>
        <row r="27">
          <cell r="D27">
            <v>31433.058228180693</v>
          </cell>
        </row>
        <row r="28">
          <cell r="D28">
            <v>6074.1401331901179</v>
          </cell>
        </row>
        <row r="29">
          <cell r="D29">
            <v>5515859.1231497694</v>
          </cell>
        </row>
        <row r="34">
          <cell r="D34">
            <v>0.27340689609204571</v>
          </cell>
        </row>
        <row r="35">
          <cell r="D35">
            <v>3605614.8334557274</v>
          </cell>
        </row>
        <row r="36">
          <cell r="D36">
            <v>47214.9</v>
          </cell>
        </row>
        <row r="37">
          <cell r="D37">
            <v>13377.137157294761</v>
          </cell>
        </row>
        <row r="38">
          <cell r="D38">
            <v>1446.1046617137413</v>
          </cell>
        </row>
        <row r="43">
          <cell r="D43">
            <v>0.62392827828250408</v>
          </cell>
        </row>
        <row r="44">
          <cell r="D44">
            <v>637790.70759999997</v>
          </cell>
        </row>
        <row r="45">
          <cell r="D45">
            <v>4539.0920000000006</v>
          </cell>
        </row>
        <row r="46">
          <cell r="D46">
            <v>2600.2773807785647</v>
          </cell>
        </row>
        <row r="47">
          <cell r="D47">
            <v>718.79</v>
          </cell>
        </row>
        <row r="53">
          <cell r="D53">
            <v>0</v>
          </cell>
        </row>
        <row r="54">
          <cell r="D54">
            <v>0</v>
          </cell>
        </row>
        <row r="55">
          <cell r="D55">
            <v>0</v>
          </cell>
        </row>
        <row r="56">
          <cell r="D56">
            <v>0</v>
          </cell>
        </row>
        <row r="61">
          <cell r="D61">
            <v>0.39077248652117169</v>
          </cell>
        </row>
        <row r="62">
          <cell r="D62">
            <v>1256905.3490396049</v>
          </cell>
        </row>
        <row r="63">
          <cell r="D63">
            <v>40986.040999999997</v>
          </cell>
        </row>
        <row r="64">
          <cell r="D64">
            <v>15047.375559179249</v>
          </cell>
        </row>
        <row r="65">
          <cell r="D65">
            <v>3614.4574188363272</v>
          </cell>
        </row>
        <row r="71">
          <cell r="D71">
            <v>0</v>
          </cell>
        </row>
        <row r="72">
          <cell r="D72">
            <v>0</v>
          </cell>
        </row>
        <row r="73">
          <cell r="D73">
            <v>0</v>
          </cell>
        </row>
        <row r="74">
          <cell r="D74">
            <v>0</v>
          </cell>
        </row>
        <row r="80">
          <cell r="D80">
            <v>0</v>
          </cell>
        </row>
        <row r="81">
          <cell r="D81">
            <v>0</v>
          </cell>
        </row>
        <row r="82">
          <cell r="D82">
            <v>0</v>
          </cell>
        </row>
        <row r="83">
          <cell r="D83">
            <v>0</v>
          </cell>
        </row>
        <row r="88">
          <cell r="D88">
            <v>0.31383377682981828</v>
          </cell>
        </row>
        <row r="89">
          <cell r="D89">
            <v>15548.233054434244</v>
          </cell>
        </row>
        <row r="90">
          <cell r="D90">
            <v>1238.2</v>
          </cell>
        </row>
        <row r="91">
          <cell r="D91">
            <v>408.26813092813165</v>
          </cell>
        </row>
        <row r="92">
          <cell r="D92">
            <v>294.7880526400499</v>
          </cell>
        </row>
        <row r="108">
          <cell r="D108">
            <v>0.52320159258063037</v>
          </cell>
        </row>
        <row r="110">
          <cell r="D110">
            <v>13405</v>
          </cell>
        </row>
        <row r="111">
          <cell r="D111">
            <v>7013.5173485433497</v>
          </cell>
        </row>
        <row r="115">
          <cell r="D115">
            <v>0.65153496437370717</v>
          </cell>
        </row>
        <row r="117">
          <cell r="D117">
            <v>10975</v>
          </cell>
        </row>
        <row r="118">
          <cell r="D118">
            <v>7150.5962340014366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C_2011"/>
      <sheetName val="Utilisation"/>
      <sheetName val="U6"/>
      <sheetName val="U5"/>
      <sheetName val="lookup"/>
      <sheetName val="U4"/>
      <sheetName val="Lookup old"/>
      <sheetName val="U3"/>
      <sheetName val="U2"/>
      <sheetName val="Utilisation old"/>
      <sheetName val="500 kV check"/>
    </sheetNames>
    <sheetDataSet>
      <sheetData sheetId="0"/>
      <sheetData sheetId="1">
        <row r="2">
          <cell r="N2">
            <v>288.24700000000001</v>
          </cell>
        </row>
        <row r="19">
          <cell r="D19">
            <v>0.56066253446574299</v>
          </cell>
        </row>
        <row r="22">
          <cell r="D22">
            <v>0.29647195076046001</v>
          </cell>
        </row>
        <row r="24">
          <cell r="D24">
            <v>25470.5</v>
          </cell>
        </row>
        <row r="25">
          <cell r="D25">
            <v>14280.355084109706</v>
          </cell>
        </row>
        <row r="26">
          <cell r="D26">
            <v>96293.786999999968</v>
          </cell>
        </row>
        <row r="27">
          <cell r="D27">
            <v>29756.177434559409</v>
          </cell>
        </row>
        <row r="28">
          <cell r="D28">
            <v>6086.3789871093368</v>
          </cell>
        </row>
        <row r="29">
          <cell r="D29">
            <v>5577013.7781743882</v>
          </cell>
        </row>
        <row r="34">
          <cell r="D34">
            <v>0.25405992380924752</v>
          </cell>
        </row>
        <row r="35">
          <cell r="D35">
            <v>3658428.9109999994</v>
          </cell>
        </row>
        <row r="36">
          <cell r="D36">
            <v>47922.3</v>
          </cell>
        </row>
        <row r="37">
          <cell r="D37">
            <v>12915.192245605851</v>
          </cell>
        </row>
        <row r="38">
          <cell r="D38">
            <v>1459.9599999999998</v>
          </cell>
        </row>
        <row r="43">
          <cell r="D43">
            <v>0.46247254584715441</v>
          </cell>
        </row>
        <row r="44">
          <cell r="D44">
            <v>643481.5602999999</v>
          </cell>
        </row>
        <row r="45">
          <cell r="D45">
            <v>4564.3509999999997</v>
          </cell>
        </row>
        <row r="46">
          <cell r="D46">
            <v>1934.4455977994855</v>
          </cell>
        </row>
        <row r="47">
          <cell r="D47">
            <v>718.79</v>
          </cell>
        </row>
        <row r="53">
          <cell r="D53">
            <v>0</v>
          </cell>
        </row>
        <row r="54">
          <cell r="D54">
            <v>0</v>
          </cell>
        </row>
        <row r="55">
          <cell r="D55">
            <v>0</v>
          </cell>
        </row>
        <row r="56">
          <cell r="D56">
            <v>0</v>
          </cell>
        </row>
        <row r="61">
          <cell r="D61">
            <v>0.33490677403522523</v>
          </cell>
        </row>
        <row r="62">
          <cell r="D62">
            <v>1259555.0738199514</v>
          </cell>
        </row>
        <row r="63">
          <cell r="D63">
            <v>42568.935999999987</v>
          </cell>
        </row>
        <row r="64">
          <cell r="D64">
            <v>14520.350205245089</v>
          </cell>
        </row>
        <row r="65">
          <cell r="D65">
            <v>3612.8409344692868</v>
          </cell>
        </row>
        <row r="71">
          <cell r="D71">
            <v>0</v>
          </cell>
        </row>
        <row r="72">
          <cell r="D72">
            <v>0</v>
          </cell>
        </row>
        <row r="73">
          <cell r="D73">
            <v>0</v>
          </cell>
        </row>
        <row r="74">
          <cell r="D74">
            <v>0</v>
          </cell>
        </row>
        <row r="80">
          <cell r="D80">
            <v>0</v>
          </cell>
        </row>
        <row r="81">
          <cell r="D81">
            <v>0</v>
          </cell>
        </row>
        <row r="82">
          <cell r="D82">
            <v>0</v>
          </cell>
        </row>
        <row r="83">
          <cell r="D83">
            <v>0</v>
          </cell>
        </row>
        <row r="88">
          <cell r="D88">
            <v>0.29211692009205559</v>
          </cell>
        </row>
        <row r="89">
          <cell r="D89">
            <v>15548.233054434244</v>
          </cell>
        </row>
        <row r="90">
          <cell r="D90">
            <v>1238.2</v>
          </cell>
        </row>
        <row r="91">
          <cell r="D91">
            <v>386.18938590898489</v>
          </cell>
        </row>
        <row r="92">
          <cell r="D92">
            <v>294.7880526400499</v>
          </cell>
        </row>
        <row r="108">
          <cell r="D108">
            <v>0.53285393421756011</v>
          </cell>
        </row>
        <row r="110">
          <cell r="D110">
            <v>13305</v>
          </cell>
        </row>
        <row r="111">
          <cell r="D111">
            <v>7089.6215947646369</v>
          </cell>
        </row>
        <row r="115">
          <cell r="D115">
            <v>0.59107586941309986</v>
          </cell>
        </row>
        <row r="117">
          <cell r="D117">
            <v>12165.5</v>
          </cell>
        </row>
        <row r="118">
          <cell r="D118">
            <v>7190.733489345067</v>
          </cell>
        </row>
      </sheetData>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W_2006"/>
      <sheetName val="Utilisation"/>
      <sheetName val="U6"/>
      <sheetName val="U5"/>
      <sheetName val="lookup"/>
      <sheetName val="U4"/>
      <sheetName val="Lookup old"/>
      <sheetName val="U3"/>
      <sheetName val="U2"/>
    </sheetNames>
    <sheetDataSet>
      <sheetData sheetId="0"/>
      <sheetData sheetId="1">
        <row r="2">
          <cell r="N2">
            <v>870.43599999999992</v>
          </cell>
        </row>
        <row r="19">
          <cell r="E19">
            <v>0.47975508237226705</v>
          </cell>
        </row>
        <row r="22">
          <cell r="E22">
            <v>0.37544949722173093</v>
          </cell>
        </row>
        <row r="24">
          <cell r="E24">
            <v>22795</v>
          </cell>
        </row>
        <row r="25">
          <cell r="E25">
            <v>10936.017102675827</v>
          </cell>
        </row>
        <row r="26">
          <cell r="E26">
            <v>99783</v>
          </cell>
        </row>
        <row r="27">
          <cell r="E27">
            <v>37296.168474771228</v>
          </cell>
        </row>
        <row r="28">
          <cell r="E28">
            <v>10590.291084676133</v>
          </cell>
        </row>
        <row r="29">
          <cell r="E29">
            <v>6126977.8011148218</v>
          </cell>
        </row>
        <row r="34">
          <cell r="E34">
            <v>0.20693262271739279</v>
          </cell>
        </row>
        <row r="35">
          <cell r="E35">
            <v>593262</v>
          </cell>
        </row>
        <row r="36">
          <cell r="E36">
            <v>4140</v>
          </cell>
        </row>
        <row r="37">
          <cell r="E37">
            <v>856.70105805000617</v>
          </cell>
        </row>
        <row r="38">
          <cell r="E38">
            <v>286.60000000000002</v>
          </cell>
        </row>
        <row r="43">
          <cell r="E43">
            <v>0.40437017067149489</v>
          </cell>
        </row>
        <row r="44">
          <cell r="E44">
            <v>4875992.8295554956</v>
          </cell>
        </row>
        <row r="45">
          <cell r="E45">
            <v>65479</v>
          </cell>
        </row>
        <row r="46">
          <cell r="E46">
            <v>25435.52637138803</v>
          </cell>
        </row>
        <row r="47">
          <cell r="E47">
            <v>5080.2608761526481</v>
          </cell>
        </row>
        <row r="53">
          <cell r="E53">
            <v>0</v>
          </cell>
        </row>
        <row r="54">
          <cell r="E54">
            <v>0</v>
          </cell>
        </row>
        <row r="55">
          <cell r="E55">
            <v>0</v>
          </cell>
        </row>
        <row r="56">
          <cell r="E56">
            <v>0</v>
          </cell>
        </row>
        <row r="61">
          <cell r="E61">
            <v>0.21761770157187216</v>
          </cell>
        </row>
        <row r="62">
          <cell r="E62">
            <v>133438.29999999999</v>
          </cell>
        </row>
        <row r="63">
          <cell r="E63">
            <v>623</v>
          </cell>
        </row>
        <row r="64">
          <cell r="E64">
            <v>122.95702096217903</v>
          </cell>
        </row>
        <row r="65">
          <cell r="E65">
            <v>657.3</v>
          </cell>
        </row>
        <row r="70">
          <cell r="E70">
            <v>0.3373375077792754</v>
          </cell>
        </row>
        <row r="71">
          <cell r="E71">
            <v>524284.67155932949</v>
          </cell>
        </row>
        <row r="72">
          <cell r="E72">
            <v>29541</v>
          </cell>
        </row>
        <row r="73">
          <cell r="E73">
            <v>10880.98402437103</v>
          </cell>
        </row>
        <row r="74">
          <cell r="E74">
            <v>4566.1302085234956</v>
          </cell>
        </row>
        <row r="80">
          <cell r="E80">
            <v>0</v>
          </cell>
        </row>
        <row r="81">
          <cell r="E81">
            <v>0</v>
          </cell>
        </row>
        <row r="82">
          <cell r="E82">
            <v>0</v>
          </cell>
        </row>
        <row r="83">
          <cell r="E83">
            <v>0</v>
          </cell>
        </row>
        <row r="89">
          <cell r="E89">
            <v>0</v>
          </cell>
        </row>
        <row r="90">
          <cell r="E90">
            <v>0</v>
          </cell>
        </row>
        <row r="91">
          <cell r="E91">
            <v>0</v>
          </cell>
        </row>
        <row r="92">
          <cell r="E92">
            <v>0</v>
          </cell>
        </row>
        <row r="108">
          <cell r="E108">
            <v>0.48226930072405444</v>
          </cell>
        </row>
        <row r="110">
          <cell r="E110">
            <v>22295</v>
          </cell>
        </row>
        <row r="111">
          <cell r="E111">
            <v>10752.194059642794</v>
          </cell>
        </row>
        <row r="115">
          <cell r="E115">
            <v>0.36764608606606136</v>
          </cell>
        </row>
        <row r="117">
          <cell r="E117">
            <v>500</v>
          </cell>
        </row>
        <row r="118">
          <cell r="E118">
            <v>183.82304303303067</v>
          </cell>
        </row>
      </sheetData>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W_2007"/>
      <sheetName val="Utilisation"/>
      <sheetName val="U6"/>
      <sheetName val="U5"/>
      <sheetName val="lookup"/>
      <sheetName val="U4"/>
      <sheetName val="Lookup old"/>
      <sheetName val="U3"/>
      <sheetName val="U2"/>
    </sheetNames>
    <sheetDataSet>
      <sheetData sheetId="0"/>
      <sheetData sheetId="1">
        <row r="2">
          <cell r="N2">
            <v>929.32199999999989</v>
          </cell>
        </row>
        <row r="19">
          <cell r="E19">
            <v>0.48740646547164246</v>
          </cell>
        </row>
        <row r="22">
          <cell r="E22">
            <v>0.32196437348531071</v>
          </cell>
        </row>
        <row r="24">
          <cell r="E24">
            <v>23730</v>
          </cell>
        </row>
        <row r="25">
          <cell r="E25">
            <v>11566.155425642075</v>
          </cell>
        </row>
        <row r="26">
          <cell r="E26">
            <v>116072</v>
          </cell>
        </row>
        <row r="27">
          <cell r="E27">
            <v>35250.415623079993</v>
          </cell>
        </row>
        <row r="28">
          <cell r="E28">
            <v>11115.488123372235</v>
          </cell>
        </row>
        <row r="29">
          <cell r="E29">
            <v>7107044.3210114408</v>
          </cell>
        </row>
        <row r="34">
          <cell r="E34">
            <v>0.20909236024503169</v>
          </cell>
        </row>
        <row r="35">
          <cell r="E35">
            <v>593262</v>
          </cell>
        </row>
        <row r="36">
          <cell r="E36">
            <v>4140</v>
          </cell>
        </row>
        <row r="37">
          <cell r="E37">
            <v>865.64237141443118</v>
          </cell>
        </row>
        <row r="38">
          <cell r="E38">
            <v>286.60000000000002</v>
          </cell>
        </row>
        <row r="43">
          <cell r="E43">
            <v>0.34380916522758742</v>
          </cell>
        </row>
        <row r="44">
          <cell r="E44">
            <v>5730111.8224032903</v>
          </cell>
        </row>
        <row r="45">
          <cell r="E45">
            <v>75362</v>
          </cell>
        </row>
        <row r="46">
          <cell r="E46">
            <v>24459.596723915885</v>
          </cell>
        </row>
        <row r="47">
          <cell r="E47">
            <v>5254.5608761526473</v>
          </cell>
        </row>
        <row r="53">
          <cell r="E53">
            <v>0</v>
          </cell>
        </row>
        <row r="54">
          <cell r="E54">
            <v>0</v>
          </cell>
        </row>
        <row r="55">
          <cell r="E55">
            <v>0</v>
          </cell>
        </row>
        <row r="56">
          <cell r="E56">
            <v>0</v>
          </cell>
        </row>
        <row r="61">
          <cell r="E61">
            <v>0.17511975624958603</v>
          </cell>
        </row>
        <row r="62">
          <cell r="E62">
            <v>133438.29999999999</v>
          </cell>
        </row>
        <row r="63">
          <cell r="E63">
            <v>623</v>
          </cell>
        </row>
        <row r="64">
          <cell r="E64">
            <v>96.765382579235933</v>
          </cell>
        </row>
        <row r="65">
          <cell r="E65">
            <v>657.3</v>
          </cell>
        </row>
        <row r="70">
          <cell r="E70">
            <v>0.26213491237709141</v>
          </cell>
        </row>
        <row r="71">
          <cell r="E71">
            <v>644109.66594497557</v>
          </cell>
        </row>
        <row r="72">
          <cell r="E72">
            <v>35439</v>
          </cell>
        </row>
        <row r="73">
          <cell r="E73">
            <v>9652.5080117820871</v>
          </cell>
        </row>
        <row r="74">
          <cell r="E74">
            <v>4811.5977066824398</v>
          </cell>
        </row>
        <row r="80">
          <cell r="E80">
            <v>0</v>
          </cell>
        </row>
        <row r="81">
          <cell r="E81">
            <v>0</v>
          </cell>
        </row>
        <row r="82">
          <cell r="E82">
            <v>0</v>
          </cell>
        </row>
        <row r="83">
          <cell r="E83">
            <v>0</v>
          </cell>
        </row>
        <row r="88">
          <cell r="E88">
            <v>0.30906239164517213</v>
          </cell>
        </row>
        <row r="89">
          <cell r="E89">
            <v>6122.5326631770131</v>
          </cell>
        </row>
        <row r="90">
          <cell r="E90">
            <v>508</v>
          </cell>
        </row>
        <row r="91">
          <cell r="E91">
            <v>175.90313338838175</v>
          </cell>
        </row>
        <row r="92">
          <cell r="E92">
            <v>105.42954053715829</v>
          </cell>
        </row>
        <row r="108">
          <cell r="E108">
            <v>0.49397815193967815</v>
          </cell>
        </row>
        <row r="110">
          <cell r="E110">
            <v>22630</v>
          </cell>
        </row>
        <row r="111">
          <cell r="E111">
            <v>11178.725578394917</v>
          </cell>
        </row>
        <row r="115">
          <cell r="E115">
            <v>0.35220895204287234</v>
          </cell>
        </row>
        <row r="117">
          <cell r="E117">
            <v>1100</v>
          </cell>
        </row>
        <row r="118">
          <cell r="E118">
            <v>387.42984724715956</v>
          </cell>
        </row>
      </sheetData>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W_2008"/>
      <sheetName val="Utilisation"/>
      <sheetName val="U6"/>
      <sheetName val="U5"/>
      <sheetName val="lookup"/>
      <sheetName val="U4"/>
      <sheetName val="Lookup old"/>
      <sheetName val="U3"/>
      <sheetName val="U2"/>
    </sheetNames>
    <sheetDataSet>
      <sheetData sheetId="0"/>
      <sheetData sheetId="1">
        <row r="2">
          <cell r="N2">
            <v>940.97800000000007</v>
          </cell>
        </row>
        <row r="19">
          <cell r="E19">
            <v>0.50898711833421972</v>
          </cell>
        </row>
        <row r="22">
          <cell r="E22">
            <v>0.34837966001121723</v>
          </cell>
        </row>
        <row r="24">
          <cell r="E24">
            <v>23735</v>
          </cell>
        </row>
        <row r="25">
          <cell r="E25">
            <v>12080.809253662706</v>
          </cell>
        </row>
        <row r="26">
          <cell r="E26">
            <v>119411</v>
          </cell>
        </row>
        <row r="27">
          <cell r="E27">
            <v>40017.371054654708</v>
          </cell>
        </row>
        <row r="28">
          <cell r="E28">
            <v>11273.32104383863</v>
          </cell>
        </row>
        <row r="29">
          <cell r="E29">
            <v>7216442.1886426862</v>
          </cell>
        </row>
        <row r="34">
          <cell r="E34">
            <v>0.26851841111982921</v>
          </cell>
        </row>
        <row r="35">
          <cell r="E35">
            <v>593262</v>
          </cell>
        </row>
        <row r="36">
          <cell r="E36">
            <v>4140</v>
          </cell>
        </row>
        <row r="37">
          <cell r="E37">
            <v>1111.6662220360929</v>
          </cell>
        </row>
        <row r="38">
          <cell r="E38">
            <v>286.60000000000002</v>
          </cell>
        </row>
        <row r="43">
          <cell r="E43">
            <v>0.36656855600414057</v>
          </cell>
        </row>
        <row r="44">
          <cell r="E44">
            <v>5820196.7963359933</v>
          </cell>
        </row>
        <row r="45">
          <cell r="E45">
            <v>78035</v>
          </cell>
        </row>
        <row r="46">
          <cell r="E46">
            <v>27650.800162661006</v>
          </cell>
        </row>
        <row r="47">
          <cell r="E47">
            <v>5297.8392008798073</v>
          </cell>
        </row>
        <row r="53">
          <cell r="E53">
            <v>0</v>
          </cell>
        </row>
        <row r="54">
          <cell r="E54">
            <v>0</v>
          </cell>
        </row>
        <row r="55">
          <cell r="E55">
            <v>0</v>
          </cell>
        </row>
        <row r="56">
          <cell r="E56">
            <v>0</v>
          </cell>
        </row>
        <row r="61">
          <cell r="E61">
            <v>0.18270111366134806</v>
          </cell>
        </row>
        <row r="62">
          <cell r="E62">
            <v>133438.29999999999</v>
          </cell>
        </row>
        <row r="63">
          <cell r="E63">
            <v>623</v>
          </cell>
        </row>
        <row r="64">
          <cell r="E64">
            <v>106.24174295501965</v>
          </cell>
        </row>
        <row r="65">
          <cell r="E65">
            <v>657.3</v>
          </cell>
        </row>
        <row r="70">
          <cell r="E70">
            <v>0.29297212588030264</v>
          </cell>
        </row>
        <row r="71">
          <cell r="E71">
            <v>663422.55964351504</v>
          </cell>
        </row>
        <row r="72">
          <cell r="E72">
            <v>36105</v>
          </cell>
        </row>
        <row r="73">
          <cell r="E73">
            <v>10932.809326076431</v>
          </cell>
        </row>
        <row r="74">
          <cell r="E74">
            <v>4926.1523024216758</v>
          </cell>
        </row>
        <row r="80">
          <cell r="E80">
            <v>0</v>
          </cell>
        </row>
        <row r="81">
          <cell r="E81">
            <v>0</v>
          </cell>
        </row>
        <row r="82">
          <cell r="E82">
            <v>0</v>
          </cell>
        </row>
        <row r="83">
          <cell r="E83">
            <v>0</v>
          </cell>
        </row>
        <row r="88">
          <cell r="E88">
            <v>0.41079855787432057</v>
          </cell>
        </row>
        <row r="89">
          <cell r="E89">
            <v>6122.5326631770131</v>
          </cell>
        </row>
        <row r="90">
          <cell r="E90">
            <v>508</v>
          </cell>
        </row>
        <row r="91">
          <cell r="E91">
            <v>215.8536009261544</v>
          </cell>
        </row>
        <row r="92">
          <cell r="E92">
            <v>105.42954053715829</v>
          </cell>
        </row>
        <row r="108">
          <cell r="E108">
            <v>0.51713758574517299</v>
          </cell>
        </row>
        <row r="110">
          <cell r="E110">
            <v>22455</v>
          </cell>
        </row>
        <row r="111">
          <cell r="E111">
            <v>11612.324487907859</v>
          </cell>
        </row>
        <row r="115">
          <cell r="E115">
            <v>0.36600372324597452</v>
          </cell>
        </row>
        <row r="117">
          <cell r="E117">
            <v>1280</v>
          </cell>
        </row>
        <row r="118">
          <cell r="E118">
            <v>468.48476575484739</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0:I27"/>
  <sheetViews>
    <sheetView showGridLines="0" tabSelected="1" workbookViewId="0">
      <selection activeCell="O24" sqref="O24"/>
    </sheetView>
  </sheetViews>
  <sheetFormatPr defaultRowHeight="15.75" x14ac:dyDescent="0.25"/>
  <cols>
    <col min="3" max="3" width="18.625" bestFit="1" customWidth="1"/>
  </cols>
  <sheetData>
    <row r="10" spans="3:9" ht="23.25" x14ac:dyDescent="0.35">
      <c r="C10" s="221" t="s">
        <v>119</v>
      </c>
    </row>
    <row r="11" spans="3:9" ht="18.75" x14ac:dyDescent="0.3">
      <c r="C11" s="5" t="s">
        <v>120</v>
      </c>
    </row>
    <row r="13" spans="3:9" x14ac:dyDescent="0.25">
      <c r="C13" s="222">
        <v>41124</v>
      </c>
    </row>
    <row r="16" spans="3:9" x14ac:dyDescent="0.25">
      <c r="C16" s="236" t="s">
        <v>121</v>
      </c>
      <c r="D16" s="236"/>
      <c r="E16" s="236"/>
      <c r="F16" s="236"/>
      <c r="G16" s="236"/>
      <c r="H16" s="236"/>
      <c r="I16" s="236"/>
    </row>
    <row r="17" spans="3:9" x14ac:dyDescent="0.25">
      <c r="C17" s="236"/>
      <c r="D17" s="236"/>
      <c r="E17" s="236"/>
      <c r="F17" s="236"/>
      <c r="G17" s="236"/>
      <c r="H17" s="236"/>
      <c r="I17" s="236"/>
    </row>
    <row r="18" spans="3:9" x14ac:dyDescent="0.25">
      <c r="C18" s="236"/>
      <c r="D18" s="236"/>
      <c r="E18" s="236"/>
      <c r="F18" s="236"/>
      <c r="G18" s="236"/>
      <c r="H18" s="236"/>
      <c r="I18" s="236"/>
    </row>
    <row r="21" spans="3:9" x14ac:dyDescent="0.25">
      <c r="C21" t="s">
        <v>122</v>
      </c>
    </row>
    <row r="22" spans="3:9" x14ac:dyDescent="0.25">
      <c r="C22" s="237" t="s">
        <v>130</v>
      </c>
      <c r="D22" s="237"/>
      <c r="E22" s="237"/>
      <c r="F22" s="237"/>
      <c r="G22" s="237"/>
      <c r="H22" s="237"/>
      <c r="I22" s="237"/>
    </row>
    <row r="23" spans="3:9" x14ac:dyDescent="0.25">
      <c r="C23" s="237"/>
      <c r="D23" s="237"/>
      <c r="E23" s="237"/>
      <c r="F23" s="237"/>
      <c r="G23" s="237"/>
      <c r="H23" s="237"/>
      <c r="I23" s="237"/>
    </row>
    <row r="24" spans="3:9" x14ac:dyDescent="0.25">
      <c r="C24" s="237"/>
      <c r="D24" s="237"/>
      <c r="E24" s="237"/>
      <c r="F24" s="237"/>
      <c r="G24" s="237"/>
      <c r="H24" s="237"/>
      <c r="I24" s="237"/>
    </row>
    <row r="25" spans="3:9" x14ac:dyDescent="0.25">
      <c r="C25" s="237"/>
      <c r="D25" s="237"/>
      <c r="E25" s="237"/>
      <c r="F25" s="237"/>
      <c r="G25" s="237"/>
      <c r="H25" s="237"/>
      <c r="I25" s="237"/>
    </row>
    <row r="27" spans="3:9" x14ac:dyDescent="0.25">
      <c r="C27" s="70" t="s">
        <v>142</v>
      </c>
    </row>
  </sheetData>
  <mergeCells count="2">
    <mergeCell ref="C16:I18"/>
    <mergeCell ref="C22:I25"/>
  </mergeCells>
  <pageMargins left="0.7" right="0.7" top="0.75" bottom="0.75" header="0.3" footer="0.3"/>
  <pageSetup paperSize="9"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G35"/>
  <sheetViews>
    <sheetView showGridLines="0" showRowColHeaders="0" workbookViewId="0">
      <selection activeCell="E27" sqref="E27"/>
    </sheetView>
  </sheetViews>
  <sheetFormatPr defaultRowHeight="15.75" x14ac:dyDescent="0.25"/>
  <cols>
    <col min="1" max="1" width="3.375" customWidth="1"/>
    <col min="2" max="2" width="97.375" style="223" customWidth="1"/>
  </cols>
  <sheetData>
    <row r="2" spans="2:2" ht="21" x14ac:dyDescent="0.35">
      <c r="B2" s="227" t="s">
        <v>136</v>
      </c>
    </row>
    <row r="3" spans="2:2" ht="63" x14ac:dyDescent="0.25">
      <c r="B3" s="228" t="s">
        <v>149</v>
      </c>
    </row>
    <row r="4" spans="2:2" x14ac:dyDescent="0.25">
      <c r="B4" s="228"/>
    </row>
    <row r="5" spans="2:2" ht="47.25" x14ac:dyDescent="0.25">
      <c r="B5" s="229" t="s">
        <v>126</v>
      </c>
    </row>
    <row r="6" spans="2:2" ht="63" x14ac:dyDescent="0.25">
      <c r="B6" s="229" t="s">
        <v>127</v>
      </c>
    </row>
    <row r="7" spans="2:2" x14ac:dyDescent="0.25">
      <c r="B7" s="229" t="s">
        <v>128</v>
      </c>
    </row>
    <row r="8" spans="2:2" x14ac:dyDescent="0.25">
      <c r="B8" s="230" t="s">
        <v>129</v>
      </c>
    </row>
    <row r="9" spans="2:2" x14ac:dyDescent="0.25">
      <c r="B9" s="231" t="s">
        <v>132</v>
      </c>
    </row>
    <row r="10" spans="2:2" x14ac:dyDescent="0.25">
      <c r="B10" s="232" t="s">
        <v>131</v>
      </c>
    </row>
    <row r="11" spans="2:2" x14ac:dyDescent="0.25">
      <c r="B11" s="233"/>
    </row>
    <row r="13" spans="2:2" ht="21" x14ac:dyDescent="0.35">
      <c r="B13" s="227" t="s">
        <v>123</v>
      </c>
    </row>
    <row r="14" spans="2:2" ht="18.75" x14ac:dyDescent="0.3">
      <c r="B14" s="234" t="s">
        <v>124</v>
      </c>
    </row>
    <row r="15" spans="2:2" ht="31.5" x14ac:dyDescent="0.25">
      <c r="B15" s="228" t="s">
        <v>139</v>
      </c>
    </row>
    <row r="16" spans="2:2" ht="31.5" x14ac:dyDescent="0.25">
      <c r="B16" s="228" t="s">
        <v>125</v>
      </c>
    </row>
    <row r="17" spans="2:7" x14ac:dyDescent="0.25">
      <c r="B17" s="228" t="s">
        <v>133</v>
      </c>
    </row>
    <row r="18" spans="2:7" ht="31.5" x14ac:dyDescent="0.25">
      <c r="B18" s="229" t="s">
        <v>134</v>
      </c>
    </row>
    <row r="19" spans="2:7" ht="78.75" x14ac:dyDescent="0.25">
      <c r="B19" s="230" t="s">
        <v>143</v>
      </c>
    </row>
    <row r="20" spans="2:7" ht="31.5" x14ac:dyDescent="0.25">
      <c r="B20" s="230" t="s">
        <v>138</v>
      </c>
    </row>
    <row r="21" spans="2:7" ht="78.75" x14ac:dyDescent="0.25">
      <c r="B21" s="229" t="s">
        <v>150</v>
      </c>
    </row>
    <row r="22" spans="2:7" x14ac:dyDescent="0.25">
      <c r="B22" s="228"/>
    </row>
    <row r="23" spans="2:7" ht="18.75" x14ac:dyDescent="0.3">
      <c r="B23" s="234" t="s">
        <v>137</v>
      </c>
    </row>
    <row r="24" spans="2:7" ht="31.5" x14ac:dyDescent="0.25">
      <c r="B24" s="228" t="s">
        <v>140</v>
      </c>
    </row>
    <row r="25" spans="2:7" x14ac:dyDescent="0.25">
      <c r="B25" s="228" t="s">
        <v>144</v>
      </c>
      <c r="G25" s="226"/>
    </row>
    <row r="26" spans="2:7" ht="31.5" x14ac:dyDescent="0.25">
      <c r="B26" s="229" t="s">
        <v>151</v>
      </c>
      <c r="G26" s="226"/>
    </row>
    <row r="27" spans="2:7" ht="31.5" x14ac:dyDescent="0.25">
      <c r="B27" s="230" t="s">
        <v>145</v>
      </c>
      <c r="G27" s="226"/>
    </row>
    <row r="28" spans="2:7" ht="31.5" x14ac:dyDescent="0.25">
      <c r="B28" s="230" t="s">
        <v>146</v>
      </c>
      <c r="G28" s="226"/>
    </row>
    <row r="29" spans="2:7" ht="47.25" x14ac:dyDescent="0.25">
      <c r="B29" s="229" t="s">
        <v>147</v>
      </c>
      <c r="G29" s="226"/>
    </row>
    <row r="30" spans="2:7" ht="47.25" x14ac:dyDescent="0.25">
      <c r="B30" s="230" t="s">
        <v>148</v>
      </c>
      <c r="G30" s="226"/>
    </row>
    <row r="31" spans="2:7" x14ac:dyDescent="0.25">
      <c r="B31" s="235"/>
      <c r="G31" s="226"/>
    </row>
    <row r="32" spans="2:7" x14ac:dyDescent="0.25">
      <c r="B32" s="225"/>
      <c r="G32" s="226"/>
    </row>
    <row r="33" spans="2:7" x14ac:dyDescent="0.25">
      <c r="B33" s="225"/>
      <c r="G33" s="226"/>
    </row>
    <row r="34" spans="2:7" x14ac:dyDescent="0.25">
      <c r="B34" s="224"/>
      <c r="G34" s="226"/>
    </row>
    <row r="35" spans="2:7" x14ac:dyDescent="0.25">
      <c r="G35" s="226"/>
    </row>
  </sheetData>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theme="3" tint="0.59999389629810485"/>
    <pageSetUpPr fitToPage="1"/>
  </sheetPr>
  <dimension ref="A1:V159"/>
  <sheetViews>
    <sheetView zoomScale="80" zoomScaleNormal="80" workbookViewId="0">
      <selection activeCell="Q112" sqref="Q112"/>
    </sheetView>
  </sheetViews>
  <sheetFormatPr defaultColWidth="11" defaultRowHeight="15.75" outlineLevelRow="1" x14ac:dyDescent="0.25"/>
  <cols>
    <col min="1" max="1" width="16.875" customWidth="1"/>
    <col min="2" max="2" width="26" bestFit="1" customWidth="1"/>
    <col min="3" max="3" width="14.125" customWidth="1"/>
    <col min="4" max="4" width="13.5" customWidth="1"/>
    <col min="9" max="9" width="14.5" bestFit="1" customWidth="1"/>
    <col min="10" max="14" width="13.125" bestFit="1" customWidth="1"/>
    <col min="16" max="16" width="11.75" customWidth="1"/>
  </cols>
  <sheetData>
    <row r="1" spans="1:18" ht="24" thickBot="1" x14ac:dyDescent="0.4">
      <c r="A1" s="205" t="s">
        <v>3</v>
      </c>
      <c r="B1" s="206" t="s">
        <v>103</v>
      </c>
      <c r="C1" s="59"/>
      <c r="D1" s="59"/>
      <c r="E1" s="59"/>
      <c r="F1" s="59"/>
      <c r="G1" s="59"/>
      <c r="H1" s="59"/>
      <c r="I1" s="59"/>
      <c r="J1" s="59"/>
      <c r="K1" s="59"/>
      <c r="L1" s="59"/>
      <c r="M1" s="59"/>
      <c r="N1" s="59"/>
      <c r="O1" s="59"/>
      <c r="P1" s="124"/>
    </row>
    <row r="2" spans="1:18" ht="24" thickBot="1" x14ac:dyDescent="0.4">
      <c r="A2" s="54" t="s">
        <v>50</v>
      </c>
      <c r="B2" s="55"/>
      <c r="C2" s="55"/>
      <c r="D2" s="55"/>
      <c r="E2" s="55"/>
      <c r="F2" s="55"/>
      <c r="G2" s="55"/>
      <c r="H2" s="55"/>
      <c r="I2" s="55"/>
      <c r="J2" s="55"/>
      <c r="K2" s="55"/>
      <c r="L2" s="55"/>
      <c r="M2" s="55"/>
      <c r="N2" s="56"/>
      <c r="O2" s="15"/>
      <c r="P2" s="15"/>
    </row>
    <row r="3" spans="1:18" ht="19.5" outlineLevel="1" thickBot="1" x14ac:dyDescent="0.35">
      <c r="A3" s="20" t="s">
        <v>110</v>
      </c>
      <c r="B3" s="77" t="s">
        <v>79</v>
      </c>
      <c r="C3" s="124">
        <v>2000</v>
      </c>
      <c r="D3" s="124">
        <v>2001</v>
      </c>
      <c r="E3" s="124">
        <v>2002</v>
      </c>
      <c r="F3" s="124">
        <v>2003</v>
      </c>
      <c r="G3" s="124">
        <v>2004</v>
      </c>
      <c r="H3" s="124">
        <v>2005</v>
      </c>
      <c r="I3" s="124">
        <v>2006</v>
      </c>
      <c r="J3" s="124">
        <v>2007</v>
      </c>
      <c r="K3" s="124">
        <v>2008</v>
      </c>
      <c r="L3" s="124">
        <v>2009</v>
      </c>
      <c r="M3" s="124">
        <v>2010</v>
      </c>
      <c r="N3" s="132">
        <v>2011</v>
      </c>
      <c r="O3" s="15"/>
      <c r="P3" s="15"/>
    </row>
    <row r="4" spans="1:18" ht="21" outlineLevel="1" x14ac:dyDescent="0.35">
      <c r="A4" s="72"/>
      <c r="B4" s="86"/>
      <c r="C4" s="240" t="s">
        <v>78</v>
      </c>
      <c r="D4" s="240"/>
      <c r="E4" s="240"/>
      <c r="F4" s="240"/>
      <c r="G4" s="240"/>
      <c r="H4" s="240"/>
      <c r="I4" s="240"/>
      <c r="J4" s="240"/>
      <c r="K4" s="240"/>
      <c r="L4" s="240"/>
      <c r="M4" s="240"/>
      <c r="N4" s="241"/>
      <c r="O4" s="7"/>
      <c r="P4" s="7"/>
    </row>
    <row r="5" spans="1:18" outlineLevel="1" x14ac:dyDescent="0.25">
      <c r="A5" s="58"/>
      <c r="B5" s="139"/>
      <c r="C5" s="238" t="s">
        <v>76</v>
      </c>
      <c r="D5" s="238"/>
      <c r="E5" s="238"/>
      <c r="F5" s="238"/>
      <c r="G5" s="238"/>
      <c r="H5" s="238"/>
      <c r="I5" s="238"/>
      <c r="J5" s="238"/>
      <c r="K5" s="238"/>
      <c r="L5" s="238"/>
      <c r="M5" s="238"/>
      <c r="N5" s="239"/>
      <c r="O5" s="7"/>
      <c r="P5" s="7"/>
    </row>
    <row r="6" spans="1:18" outlineLevel="1" x14ac:dyDescent="0.25">
      <c r="A6" s="122" t="s">
        <v>6</v>
      </c>
      <c r="B6" s="140" t="s">
        <v>1</v>
      </c>
      <c r="C6" s="166"/>
      <c r="D6" s="166"/>
      <c r="E6" s="166"/>
      <c r="F6" s="166"/>
      <c r="G6" s="166"/>
      <c r="H6" s="166"/>
      <c r="I6" s="148">
        <f>[1]Utilisation!$D$19</f>
        <v>0.58985303880327544</v>
      </c>
      <c r="J6" s="148">
        <f>[2]Utilisation!$D$19</f>
        <v>0.66225751394349719</v>
      </c>
      <c r="K6" s="148">
        <f>[3]Utilisation!$D$19</f>
        <v>0.62107250137989856</v>
      </c>
      <c r="L6" s="148">
        <f>[4]Utilisation!$D$19</f>
        <v>0.63735980072383669</v>
      </c>
      <c r="M6" s="148">
        <f>[5]Utilisation!$D$19</f>
        <v>0.58097266540380588</v>
      </c>
      <c r="N6" s="149">
        <f>[6]Utilisation!$D$19</f>
        <v>0.56066253446574299</v>
      </c>
      <c r="O6" s="7"/>
      <c r="P6" s="7"/>
      <c r="R6" s="17"/>
    </row>
    <row r="7" spans="1:18" ht="16.5" outlineLevel="1" thickBot="1" x14ac:dyDescent="0.3">
      <c r="A7" s="19"/>
      <c r="B7" s="141" t="s">
        <v>15</v>
      </c>
      <c r="C7" s="170">
        <f>C96</f>
        <v>0.5236427995978139</v>
      </c>
      <c r="D7" s="167"/>
      <c r="E7" s="167"/>
      <c r="F7" s="167"/>
      <c r="G7" s="167"/>
      <c r="H7" s="167"/>
      <c r="I7" s="150">
        <f>[1]Utilisation!$D$108</f>
        <v>0.55832478764065685</v>
      </c>
      <c r="J7" s="150">
        <f>[2]Utilisation!$D$108</f>
        <v>0.66973456145526011</v>
      </c>
      <c r="K7" s="150">
        <f>[3]Utilisation!$D$108</f>
        <v>0.57311601571657367</v>
      </c>
      <c r="L7" s="150">
        <f>[4]Utilisation!$D$108</f>
        <v>0.5776247068845014</v>
      </c>
      <c r="M7" s="150">
        <f>[5]Utilisation!$D$108</f>
        <v>0.52320159258063037</v>
      </c>
      <c r="N7" s="151">
        <f>[6]Utilisation!$D$108</f>
        <v>0.53285393421756011</v>
      </c>
      <c r="O7" s="7"/>
      <c r="P7" s="7"/>
      <c r="R7" s="17"/>
    </row>
    <row r="8" spans="1:18" outlineLevel="1" x14ac:dyDescent="0.25">
      <c r="A8" s="123"/>
      <c r="B8" s="142" t="s">
        <v>16</v>
      </c>
      <c r="C8" s="168"/>
      <c r="D8" s="168"/>
      <c r="E8" s="168"/>
      <c r="F8" s="168"/>
      <c r="G8" s="168"/>
      <c r="H8" s="168"/>
      <c r="I8" s="152">
        <f>[1]Utilisation!$D$115</f>
        <v>0.62595113945283598</v>
      </c>
      <c r="J8" s="152">
        <f>[2]Utilisation!$D$115</f>
        <v>0.65347612211714501</v>
      </c>
      <c r="K8" s="152">
        <f>[3]Utilisation!$D$115</f>
        <v>0.68087182830512838</v>
      </c>
      <c r="L8" s="152">
        <f>[4]Utilisation!$D$115</f>
        <v>0.71538473127919822</v>
      </c>
      <c r="M8" s="152">
        <f>[5]Utilisation!$D$115</f>
        <v>0.65153496437370717</v>
      </c>
      <c r="N8" s="153">
        <f>[6]Utilisation!$D$115</f>
        <v>0.59107586941309986</v>
      </c>
      <c r="O8" s="247" t="s">
        <v>51</v>
      </c>
      <c r="P8" s="248"/>
      <c r="R8" s="17"/>
    </row>
    <row r="9" spans="1:18" outlineLevel="1" x14ac:dyDescent="0.25">
      <c r="A9" s="19" t="s">
        <v>17</v>
      </c>
      <c r="B9" s="141" t="s">
        <v>1</v>
      </c>
      <c r="C9" s="170">
        <f>C97</f>
        <v>0.23981398100845674</v>
      </c>
      <c r="D9" s="167"/>
      <c r="E9" s="167"/>
      <c r="F9" s="167"/>
      <c r="G9" s="167"/>
      <c r="H9" s="167"/>
      <c r="I9" s="150">
        <f>[1]Utilisation!$D$22</f>
        <v>0.27380586225752107</v>
      </c>
      <c r="J9" s="150">
        <f>[2]Utilisation!$D$22</f>
        <v>0.31859880476708113</v>
      </c>
      <c r="K9" s="150">
        <f>[3]Utilisation!$D$22</f>
        <v>0.33809835212515682</v>
      </c>
      <c r="L9" s="150">
        <f>[4]Utilisation!$D$22</f>
        <v>0.38489103734173313</v>
      </c>
      <c r="M9" s="150">
        <f>[5]Utilisation!$D$22</f>
        <v>0.34079536215766537</v>
      </c>
      <c r="N9" s="151">
        <f>[6]Utilisation!$D$22</f>
        <v>0.29647195076046001</v>
      </c>
      <c r="O9" s="177" t="s">
        <v>7</v>
      </c>
      <c r="P9" s="178" t="s">
        <v>87</v>
      </c>
      <c r="R9" s="17"/>
    </row>
    <row r="10" spans="1:18" outlineLevel="1" x14ac:dyDescent="0.25">
      <c r="A10" s="19"/>
      <c r="B10" s="8">
        <v>500</v>
      </c>
      <c r="C10" s="167"/>
      <c r="D10" s="167"/>
      <c r="E10" s="167"/>
      <c r="F10" s="167"/>
      <c r="G10" s="167"/>
      <c r="H10" s="167"/>
      <c r="I10" s="150">
        <f>[1]Utilisation!$D$34</f>
        <v>0.24172318960950123</v>
      </c>
      <c r="J10" s="150">
        <f>[2]Utilisation!$D$34</f>
        <v>0.26792068926981993</v>
      </c>
      <c r="K10" s="150">
        <f>[3]Utilisation!$D$34</f>
        <v>0.30579019244523281</v>
      </c>
      <c r="L10" s="150">
        <f>[4]Utilisation!$D$34</f>
        <v>0.32873161445408461</v>
      </c>
      <c r="M10" s="150">
        <f>[5]Utilisation!$D$34</f>
        <v>0.27340689609204571</v>
      </c>
      <c r="N10" s="151">
        <f>[6]Utilisation!$D$34</f>
        <v>0.25405992380924752</v>
      </c>
      <c r="O10" s="171">
        <f>AVERAGE(I10:N10)</f>
        <v>0.27860541761332197</v>
      </c>
      <c r="P10" s="47">
        <f>O52/O$51</f>
        <v>0.65477770426969073</v>
      </c>
      <c r="R10" s="17"/>
    </row>
    <row r="11" spans="1:18" outlineLevel="1" x14ac:dyDescent="0.25">
      <c r="A11" s="19"/>
      <c r="B11" s="8">
        <v>330</v>
      </c>
      <c r="C11" s="167"/>
      <c r="D11" s="167"/>
      <c r="E11" s="167"/>
      <c r="F11" s="167"/>
      <c r="G11" s="167"/>
      <c r="H11" s="167"/>
      <c r="I11" s="150">
        <f>[1]Utilisation!$D$43</f>
        <v>0.3050262899048774</v>
      </c>
      <c r="J11" s="150">
        <f>[2]Utilisation!$D$43</f>
        <v>0.56300929415099366</v>
      </c>
      <c r="K11" s="150">
        <f>[3]Utilisation!$D$43</f>
        <v>0.46328432340187087</v>
      </c>
      <c r="L11" s="150">
        <f>[4]Utilisation!$D$43</f>
        <v>0.65572395107311932</v>
      </c>
      <c r="M11" s="150">
        <f>[5]Utilisation!$D$43</f>
        <v>0.62392827828250408</v>
      </c>
      <c r="N11" s="151">
        <f>[6]Utilisation!$D$43</f>
        <v>0.46247254584715441</v>
      </c>
      <c r="O11" s="171">
        <f>AVERAGE(I11:N11)</f>
        <v>0.51224078044342003</v>
      </c>
      <c r="P11" s="47">
        <f t="shared" ref="P11:P16" si="0">O53/O$51</f>
        <v>0.11847659465515679</v>
      </c>
      <c r="R11" s="17"/>
    </row>
    <row r="12" spans="1:18" outlineLevel="1" x14ac:dyDescent="0.25">
      <c r="A12" s="19"/>
      <c r="B12" s="8">
        <v>275</v>
      </c>
      <c r="C12" s="167"/>
      <c r="D12" s="167"/>
      <c r="E12" s="167"/>
      <c r="F12" s="167"/>
      <c r="G12" s="167"/>
      <c r="H12" s="167"/>
      <c r="I12" s="150"/>
      <c r="J12" s="150"/>
      <c r="K12" s="150"/>
      <c r="L12" s="150"/>
      <c r="M12" s="150"/>
      <c r="N12" s="151"/>
      <c r="O12" s="171"/>
      <c r="P12" s="47">
        <f t="shared" si="0"/>
        <v>0</v>
      </c>
      <c r="R12" s="17"/>
    </row>
    <row r="13" spans="1:18" outlineLevel="1" x14ac:dyDescent="0.25">
      <c r="A13" s="19"/>
      <c r="B13" s="8">
        <v>220</v>
      </c>
      <c r="C13" s="167"/>
      <c r="D13" s="167"/>
      <c r="E13" s="167"/>
      <c r="F13" s="167"/>
      <c r="G13" s="167"/>
      <c r="H13" s="167"/>
      <c r="I13" s="150">
        <f>[1]Utilisation!$D$61</f>
        <v>0.35087816724091725</v>
      </c>
      <c r="J13" s="150">
        <f>[2]Utilisation!$D$61</f>
        <v>0.3388591210550681</v>
      </c>
      <c r="K13" s="150">
        <f>[3]Utilisation!$D$61</f>
        <v>0.36329596044203943</v>
      </c>
      <c r="L13" s="150">
        <f>[4]Utilisation!$D$61</f>
        <v>0.41181651060950447</v>
      </c>
      <c r="M13" s="150">
        <f>[5]Utilisation!$D$61</f>
        <v>0.39077248652117169</v>
      </c>
      <c r="N13" s="151">
        <f>[6]Utilisation!$D$61</f>
        <v>0.33490677403522523</v>
      </c>
      <c r="O13" s="171">
        <f t="shared" ref="O13:O16" si="1">AVERAGE(I13:N13)</f>
        <v>0.36508816998398769</v>
      </c>
      <c r="P13" s="47">
        <f t="shared" si="0"/>
        <v>0.22415722334345614</v>
      </c>
      <c r="R13" s="17"/>
    </row>
    <row r="14" spans="1:18" outlineLevel="1" x14ac:dyDescent="0.25">
      <c r="A14" s="19"/>
      <c r="B14" s="8">
        <v>132</v>
      </c>
      <c r="C14" s="167"/>
      <c r="D14" s="167"/>
      <c r="E14" s="167"/>
      <c r="F14" s="167"/>
      <c r="G14" s="167"/>
      <c r="H14" s="167"/>
      <c r="I14" s="150"/>
      <c r="J14" s="150"/>
      <c r="K14" s="150"/>
      <c r="L14" s="150"/>
      <c r="M14" s="150"/>
      <c r="N14" s="151"/>
      <c r="O14" s="171"/>
      <c r="P14" s="47">
        <f t="shared" si="0"/>
        <v>0</v>
      </c>
      <c r="R14" s="17"/>
    </row>
    <row r="15" spans="1:18" outlineLevel="1" x14ac:dyDescent="0.25">
      <c r="A15" s="19"/>
      <c r="B15" s="8">
        <v>110</v>
      </c>
      <c r="C15" s="167"/>
      <c r="D15" s="167"/>
      <c r="E15" s="167"/>
      <c r="F15" s="167"/>
      <c r="G15" s="167"/>
      <c r="H15" s="167"/>
      <c r="I15" s="150"/>
      <c r="J15" s="150"/>
      <c r="K15" s="150"/>
      <c r="L15" s="150"/>
      <c r="M15" s="150"/>
      <c r="N15" s="151"/>
      <c r="O15" s="171"/>
      <c r="P15" s="47">
        <f t="shared" si="0"/>
        <v>0</v>
      </c>
      <c r="R15" s="17"/>
    </row>
    <row r="16" spans="1:18" ht="16.5" outlineLevel="1" thickBot="1" x14ac:dyDescent="0.3">
      <c r="A16" s="25"/>
      <c r="B16" s="79">
        <v>66</v>
      </c>
      <c r="C16" s="169"/>
      <c r="D16" s="169"/>
      <c r="E16" s="169"/>
      <c r="F16" s="169"/>
      <c r="G16" s="169"/>
      <c r="H16" s="169"/>
      <c r="I16" s="154">
        <f>[1]Utilisation!$D$88</f>
        <v>0.34195041006993515</v>
      </c>
      <c r="J16" s="154">
        <f>[2]Utilisation!$D$88</f>
        <v>0.3745770545233269</v>
      </c>
      <c r="K16" s="154">
        <f>[3]Utilisation!$D$88</f>
        <v>0.33499481824597283</v>
      </c>
      <c r="L16" s="154">
        <f>[4]Utilisation!$D$88</f>
        <v>0.36927934058358863</v>
      </c>
      <c r="M16" s="154">
        <f>[5]Utilisation!$D$88</f>
        <v>0.31383377682981828</v>
      </c>
      <c r="N16" s="155">
        <f>[6]Utilisation!$D$88</f>
        <v>0.29211692009205559</v>
      </c>
      <c r="O16" s="172">
        <f t="shared" si="1"/>
        <v>0.33779205339078283</v>
      </c>
      <c r="P16" s="173">
        <f t="shared" si="0"/>
        <v>2.5884777316957448E-3</v>
      </c>
      <c r="R16" s="17"/>
    </row>
    <row r="17" spans="1:22" outlineLevel="1" x14ac:dyDescent="0.25">
      <c r="A17" s="57"/>
      <c r="B17" s="139"/>
      <c r="C17" s="238" t="s">
        <v>77</v>
      </c>
      <c r="D17" s="238"/>
      <c r="E17" s="238"/>
      <c r="F17" s="238"/>
      <c r="G17" s="238"/>
      <c r="H17" s="238"/>
      <c r="I17" s="238"/>
      <c r="J17" s="238"/>
      <c r="K17" s="238"/>
      <c r="L17" s="238"/>
      <c r="M17" s="238"/>
      <c r="N17" s="239"/>
      <c r="O17" s="7"/>
      <c r="P17" s="7"/>
      <c r="R17" s="17"/>
    </row>
    <row r="18" spans="1:22" outlineLevel="1" x14ac:dyDescent="0.25">
      <c r="A18" s="122" t="s">
        <v>6</v>
      </c>
      <c r="B18" s="140" t="s">
        <v>1</v>
      </c>
      <c r="C18" s="166"/>
      <c r="D18" s="166"/>
      <c r="E18" s="166"/>
      <c r="F18" s="166"/>
      <c r="G18" s="166"/>
      <c r="H18" s="166"/>
      <c r="I18" s="156">
        <f>[1]Utilisation!$D$25</f>
        <v>12901.265664705241</v>
      </c>
      <c r="J18" s="156">
        <f>[2]Utilisation!$D$25</f>
        <v>14437.876061482182</v>
      </c>
      <c r="K18" s="156">
        <f>[3]Utilisation!$D$25</f>
        <v>14297.088981765264</v>
      </c>
      <c r="L18" s="156">
        <f>[4]Utilisation!$D$25</f>
        <v>15501.227713404433</v>
      </c>
      <c r="M18" s="156">
        <f>[5]Utilisation!$D$25</f>
        <v>14164.113582544787</v>
      </c>
      <c r="N18" s="157">
        <f>[6]Utilisation!$D$25</f>
        <v>14280.355084109706</v>
      </c>
      <c r="O18" s="7"/>
      <c r="P18" s="7"/>
      <c r="R18" s="17"/>
    </row>
    <row r="19" spans="1:22" outlineLevel="1" x14ac:dyDescent="0.25">
      <c r="A19" s="19"/>
      <c r="B19" s="141" t="s">
        <v>15</v>
      </c>
      <c r="C19" s="167"/>
      <c r="D19" s="167"/>
      <c r="E19" s="167"/>
      <c r="F19" s="167"/>
      <c r="G19" s="167"/>
      <c r="H19" s="167"/>
      <c r="I19" s="158">
        <f>[1]Utilisation!$D$111</f>
        <v>6518.4418957046682</v>
      </c>
      <c r="J19" s="158">
        <f>[2]Utilisation!$D$111</f>
        <v>7886.1244611356879</v>
      </c>
      <c r="K19" s="158">
        <f>[3]Utilisation!$D$111</f>
        <v>7321.5571007792287</v>
      </c>
      <c r="L19" s="158">
        <f>[4]Utilisation!$D$111</f>
        <v>7956.7803373340066</v>
      </c>
      <c r="M19" s="158">
        <f>[5]Utilisation!$D$111</f>
        <v>7013.5173485433497</v>
      </c>
      <c r="N19" s="159">
        <f>[6]Utilisation!$D$111</f>
        <v>7089.6215947646369</v>
      </c>
      <c r="O19" s="7"/>
      <c r="P19" s="7"/>
      <c r="R19" s="17"/>
    </row>
    <row r="20" spans="1:22" outlineLevel="1" x14ac:dyDescent="0.25">
      <c r="A20" s="123"/>
      <c r="B20" s="142" t="s">
        <v>16</v>
      </c>
      <c r="C20" s="168"/>
      <c r="D20" s="168"/>
      <c r="E20" s="168"/>
      <c r="F20" s="168"/>
      <c r="G20" s="168"/>
      <c r="H20" s="168"/>
      <c r="I20" s="160">
        <f>[1]Utilisation!$D$118</f>
        <v>6382.823769000569</v>
      </c>
      <c r="J20" s="160">
        <f>[2]Utilisation!$D$118</f>
        <v>6551.7516003464962</v>
      </c>
      <c r="K20" s="160">
        <f>[3]Utilisation!$D$118</f>
        <v>6975.5318809860401</v>
      </c>
      <c r="L20" s="160">
        <f>[4]Utilisation!$D$118</f>
        <v>7544.4473760704241</v>
      </c>
      <c r="M20" s="160">
        <f>[5]Utilisation!$D$118</f>
        <v>7150.5962340014366</v>
      </c>
      <c r="N20" s="161">
        <f>[6]Utilisation!$D$118</f>
        <v>7190.733489345067</v>
      </c>
      <c r="O20" s="7"/>
      <c r="P20" s="7"/>
      <c r="R20" s="17"/>
    </row>
    <row r="21" spans="1:22" outlineLevel="1" x14ac:dyDescent="0.25">
      <c r="A21" s="19" t="s">
        <v>17</v>
      </c>
      <c r="B21" s="141" t="s">
        <v>1</v>
      </c>
      <c r="C21" s="167"/>
      <c r="D21" s="167"/>
      <c r="E21" s="167"/>
      <c r="F21" s="167"/>
      <c r="G21" s="167"/>
      <c r="H21" s="167"/>
      <c r="I21" s="158">
        <f>[1]Utilisation!$D$27</f>
        <v>27084.794892158865</v>
      </c>
      <c r="J21" s="158">
        <f>[2]Utilisation!$D$27</f>
        <v>30318.293262583094</v>
      </c>
      <c r="K21" s="158">
        <f>[3]Utilisation!$D$27</f>
        <v>32309.762674854763</v>
      </c>
      <c r="L21" s="158">
        <f>[4]Utilisation!$D$27</f>
        <v>34136.096992140483</v>
      </c>
      <c r="M21" s="158">
        <f>[5]Utilisation!$D$27</f>
        <v>31433.058228180693</v>
      </c>
      <c r="N21" s="159">
        <f>[6]Utilisation!$D$27</f>
        <v>29756.177434559409</v>
      </c>
      <c r="O21" s="7"/>
      <c r="P21" s="7"/>
      <c r="R21" s="17"/>
    </row>
    <row r="22" spans="1:22" outlineLevel="1" x14ac:dyDescent="0.25">
      <c r="A22" s="19"/>
      <c r="B22" s="8">
        <v>500</v>
      </c>
      <c r="C22" s="167"/>
      <c r="D22" s="167"/>
      <c r="E22" s="167"/>
      <c r="F22" s="167"/>
      <c r="G22" s="167"/>
      <c r="H22" s="167"/>
      <c r="I22" s="158">
        <f>[1]Utilisation!$D$37</f>
        <v>12601.448785236105</v>
      </c>
      <c r="J22" s="158">
        <f>[2]Utilisation!$D$37</f>
        <v>13935.415610999775</v>
      </c>
      <c r="K22" s="158">
        <f>[3]Utilisation!$D$37</f>
        <v>15365.026317367436</v>
      </c>
      <c r="L22" s="158">
        <f>[4]Utilisation!$D$37</f>
        <v>15888.449219218046</v>
      </c>
      <c r="M22" s="158">
        <f>[5]Utilisation!$D$37</f>
        <v>13377.137157294761</v>
      </c>
      <c r="N22" s="159">
        <f>[6]Utilisation!$D$37</f>
        <v>12915.192245605851</v>
      </c>
      <c r="O22" s="7"/>
      <c r="P22" s="7"/>
      <c r="R22" s="17"/>
    </row>
    <row r="23" spans="1:22" outlineLevel="1" x14ac:dyDescent="0.25">
      <c r="A23" s="19"/>
      <c r="B23" s="8">
        <v>330</v>
      </c>
      <c r="C23" s="167"/>
      <c r="D23" s="167"/>
      <c r="E23" s="167"/>
      <c r="F23" s="167"/>
      <c r="G23" s="167"/>
      <c r="H23" s="167"/>
      <c r="I23" s="158">
        <f>[1]Utilisation!$D$46</f>
        <v>1445.1669121584582</v>
      </c>
      <c r="J23" s="158">
        <f>[2]Utilisation!$D$46</f>
        <v>2462.7973759088941</v>
      </c>
      <c r="K23" s="158">
        <f>[3]Utilisation!$D$46</f>
        <v>2101.7095191944863</v>
      </c>
      <c r="L23" s="158">
        <f>[4]Utilisation!$D$46</f>
        <v>2714.4528661463628</v>
      </c>
      <c r="M23" s="158">
        <f>[5]Utilisation!$D$46</f>
        <v>2600.2773807785647</v>
      </c>
      <c r="N23" s="159">
        <f>[6]Utilisation!$D$46</f>
        <v>1934.4455977994855</v>
      </c>
      <c r="O23" s="7"/>
      <c r="P23" s="7"/>
      <c r="R23" s="17"/>
    </row>
    <row r="24" spans="1:22" outlineLevel="1" x14ac:dyDescent="0.25">
      <c r="A24" s="19"/>
      <c r="B24" s="8">
        <v>275</v>
      </c>
      <c r="C24" s="167"/>
      <c r="D24" s="167"/>
      <c r="E24" s="167"/>
      <c r="F24" s="167"/>
      <c r="G24" s="167"/>
      <c r="H24" s="167"/>
      <c r="I24" s="158">
        <f>[1]Utilisation!$D$55</f>
        <v>0</v>
      </c>
      <c r="J24" s="158">
        <f>[2]Utilisation!$D$55</f>
        <v>0</v>
      </c>
      <c r="K24" s="158">
        <f>[3]Utilisation!$D$55</f>
        <v>0</v>
      </c>
      <c r="L24" s="158">
        <f>[4]Utilisation!$D$55</f>
        <v>0</v>
      </c>
      <c r="M24" s="158">
        <f>[5]Utilisation!$D$55</f>
        <v>0</v>
      </c>
      <c r="N24" s="159">
        <f>[6]Utilisation!$D$55</f>
        <v>0</v>
      </c>
      <c r="O24" s="7"/>
      <c r="P24" s="7"/>
      <c r="R24" s="17"/>
    </row>
    <row r="25" spans="1:22" outlineLevel="1" x14ac:dyDescent="0.25">
      <c r="A25" s="19"/>
      <c r="B25" s="8">
        <v>220</v>
      </c>
      <c r="C25" s="167"/>
      <c r="D25" s="167"/>
      <c r="E25" s="167"/>
      <c r="F25" s="167"/>
      <c r="G25" s="167"/>
      <c r="H25" s="167"/>
      <c r="I25" s="158">
        <f>[1]Utilisation!$D$64</f>
        <v>12626.300249866343</v>
      </c>
      <c r="J25" s="158">
        <f>[2]Utilisation!$D$64</f>
        <v>13459.782843865176</v>
      </c>
      <c r="K25" s="158">
        <f>[3]Utilisation!$D$64</f>
        <v>14395.512035328957</v>
      </c>
      <c r="L25" s="158">
        <f>[4]Utilisation!$D$64</f>
        <v>15112.584130894686</v>
      </c>
      <c r="M25" s="158">
        <f>[5]Utilisation!$D$64</f>
        <v>15047.375559179249</v>
      </c>
      <c r="N25" s="159">
        <f>[6]Utilisation!$D$64</f>
        <v>14520.350205245089</v>
      </c>
      <c r="O25" s="7"/>
      <c r="P25" s="7"/>
      <c r="R25" s="17"/>
    </row>
    <row r="26" spans="1:22" outlineLevel="1" x14ac:dyDescent="0.25">
      <c r="A26" s="19"/>
      <c r="B26" s="8">
        <v>132</v>
      </c>
      <c r="C26" s="167"/>
      <c r="D26" s="167"/>
      <c r="E26" s="167"/>
      <c r="F26" s="167"/>
      <c r="G26" s="167"/>
      <c r="H26" s="167"/>
      <c r="I26" s="158">
        <f>[1]Utilisation!$D$73</f>
        <v>0</v>
      </c>
      <c r="J26" s="158">
        <f>[2]Utilisation!$D$73</f>
        <v>0</v>
      </c>
      <c r="K26" s="158">
        <f>[3]Utilisation!$D$73</f>
        <v>0</v>
      </c>
      <c r="L26" s="158">
        <f>[4]Utilisation!$D$73</f>
        <v>0</v>
      </c>
      <c r="M26" s="158">
        <f>[5]Utilisation!$D$73</f>
        <v>0</v>
      </c>
      <c r="N26" s="159">
        <f>[6]Utilisation!$D$73</f>
        <v>0</v>
      </c>
      <c r="O26" s="7"/>
      <c r="P26" s="7"/>
      <c r="R26" s="17"/>
    </row>
    <row r="27" spans="1:22" outlineLevel="1" x14ac:dyDescent="0.25">
      <c r="A27" s="19"/>
      <c r="B27" s="8">
        <v>110</v>
      </c>
      <c r="C27" s="167"/>
      <c r="D27" s="167"/>
      <c r="E27" s="167"/>
      <c r="F27" s="167"/>
      <c r="G27" s="167"/>
      <c r="H27" s="167"/>
      <c r="I27" s="158">
        <f>[1]Utilisation!$D$82</f>
        <v>0</v>
      </c>
      <c r="J27" s="158">
        <f>[2]Utilisation!$D$82</f>
        <v>0</v>
      </c>
      <c r="K27" s="158">
        <f>[3]Utilisation!$D$82</f>
        <v>0</v>
      </c>
      <c r="L27" s="158">
        <f>[4]Utilisation!$D$82</f>
        <v>0</v>
      </c>
      <c r="M27" s="158">
        <f>[5]Utilisation!$D$82</f>
        <v>0</v>
      </c>
      <c r="N27" s="159">
        <f>[6]Utilisation!$D$82</f>
        <v>0</v>
      </c>
      <c r="O27" s="7"/>
      <c r="P27" s="7"/>
      <c r="R27" s="17"/>
    </row>
    <row r="28" spans="1:22" outlineLevel="1" x14ac:dyDescent="0.25">
      <c r="A28" s="25"/>
      <c r="B28" s="79">
        <v>66</v>
      </c>
      <c r="C28" s="169"/>
      <c r="D28" s="169"/>
      <c r="E28" s="169"/>
      <c r="F28" s="169"/>
      <c r="G28" s="169"/>
      <c r="H28" s="169"/>
      <c r="I28" s="162">
        <f>[1]Utilisation!$D$91</f>
        <v>411.87894489794604</v>
      </c>
      <c r="J28" s="162">
        <f>[2]Utilisation!$D$91</f>
        <v>460.29743180925226</v>
      </c>
      <c r="K28" s="162">
        <f>[3]Utilisation!$D$91</f>
        <v>447.5148029638861</v>
      </c>
      <c r="L28" s="162">
        <f>[4]Utilisation!$D$91</f>
        <v>420.61077588137908</v>
      </c>
      <c r="M28" s="162">
        <f>[5]Utilisation!$D$91</f>
        <v>408.26813092813165</v>
      </c>
      <c r="N28" s="163">
        <f>[6]Utilisation!$D$91</f>
        <v>386.18938590898489</v>
      </c>
      <c r="O28" s="7"/>
      <c r="P28" s="7"/>
      <c r="R28" s="17"/>
    </row>
    <row r="29" spans="1:22" outlineLevel="1" x14ac:dyDescent="0.25">
      <c r="A29" s="57"/>
      <c r="B29" s="139"/>
      <c r="C29" s="238" t="s">
        <v>81</v>
      </c>
      <c r="D29" s="238"/>
      <c r="E29" s="238"/>
      <c r="F29" s="238"/>
      <c r="G29" s="238"/>
      <c r="H29" s="238"/>
      <c r="I29" s="238"/>
      <c r="J29" s="238"/>
      <c r="K29" s="238"/>
      <c r="L29" s="238"/>
      <c r="M29" s="238"/>
      <c r="N29" s="239"/>
      <c r="O29" s="7"/>
      <c r="P29" s="7"/>
      <c r="R29" s="17"/>
    </row>
    <row r="30" spans="1:22" outlineLevel="1" x14ac:dyDescent="0.25">
      <c r="A30" s="122" t="s">
        <v>6</v>
      </c>
      <c r="B30" s="140" t="s">
        <v>1</v>
      </c>
      <c r="C30" s="166"/>
      <c r="D30" s="166"/>
      <c r="E30" s="166"/>
      <c r="F30" s="166"/>
      <c r="G30" s="166"/>
      <c r="H30" s="166"/>
      <c r="I30" s="156">
        <f>[1]Utilisation!$D$24</f>
        <v>21872</v>
      </c>
      <c r="J30" s="156">
        <f>[2]Utilisation!$D$24</f>
        <v>21801</v>
      </c>
      <c r="K30" s="156">
        <f>[3]Utilisation!$D$24</f>
        <v>23020</v>
      </c>
      <c r="L30" s="156">
        <f>[4]Utilisation!$D$24</f>
        <v>24321</v>
      </c>
      <c r="M30" s="156">
        <f>[5]Utilisation!$D$24</f>
        <v>24380</v>
      </c>
      <c r="N30" s="157">
        <f>[6]Utilisation!$D$24</f>
        <v>25470.5</v>
      </c>
      <c r="O30" s="7"/>
      <c r="P30" s="7"/>
      <c r="R30" s="17"/>
    </row>
    <row r="31" spans="1:22" outlineLevel="1" x14ac:dyDescent="0.25">
      <c r="A31" s="19"/>
      <c r="B31" s="141" t="s">
        <v>15</v>
      </c>
      <c r="C31" s="167"/>
      <c r="D31" s="167"/>
      <c r="E31" s="167"/>
      <c r="F31" s="167"/>
      <c r="G31" s="167"/>
      <c r="H31" s="167"/>
      <c r="I31" s="158">
        <f>[1]Utilisation!$D$110</f>
        <v>11675</v>
      </c>
      <c r="J31" s="158">
        <f>[2]Utilisation!$D$110</f>
        <v>11775</v>
      </c>
      <c r="K31" s="158">
        <f>[3]Utilisation!$D$110</f>
        <v>12775</v>
      </c>
      <c r="L31" s="158">
        <f>[4]Utilisation!$D$110</f>
        <v>13775</v>
      </c>
      <c r="M31" s="158">
        <f>[5]Utilisation!$D$110</f>
        <v>13405</v>
      </c>
      <c r="N31" s="159">
        <f>[6]Utilisation!$D$110</f>
        <v>13305</v>
      </c>
      <c r="O31" s="7"/>
      <c r="P31" s="7"/>
      <c r="R31" s="17"/>
    </row>
    <row r="32" spans="1:22" outlineLevel="1" x14ac:dyDescent="0.25">
      <c r="A32" s="123"/>
      <c r="B32" s="142" t="s">
        <v>16</v>
      </c>
      <c r="C32" s="168"/>
      <c r="D32" s="168"/>
      <c r="E32" s="168"/>
      <c r="F32" s="168"/>
      <c r="G32" s="168"/>
      <c r="H32" s="168"/>
      <c r="I32" s="160">
        <f>[1]Utilisation!$D$117</f>
        <v>10197</v>
      </c>
      <c r="J32" s="160">
        <f>[2]Utilisation!$D$117</f>
        <v>10026</v>
      </c>
      <c r="K32" s="160">
        <f>[3]Utilisation!$D$117</f>
        <v>10245</v>
      </c>
      <c r="L32" s="160">
        <f>[4]Utilisation!$D$117</f>
        <v>10546</v>
      </c>
      <c r="M32" s="160">
        <f>[5]Utilisation!$D$117</f>
        <v>10975</v>
      </c>
      <c r="N32" s="161">
        <f>[6]Utilisation!$D$117</f>
        <v>12165.5</v>
      </c>
      <c r="O32" s="7"/>
      <c r="P32" s="7"/>
      <c r="Q32" s="2"/>
      <c r="R32" s="2"/>
      <c r="S32" s="2"/>
      <c r="T32" s="2"/>
      <c r="U32" s="2"/>
      <c r="V32" s="2"/>
    </row>
    <row r="33" spans="1:18" outlineLevel="1" x14ac:dyDescent="0.25">
      <c r="A33" s="19" t="s">
        <v>17</v>
      </c>
      <c r="B33" s="141" t="s">
        <v>1</v>
      </c>
      <c r="C33" s="167"/>
      <c r="D33" s="167"/>
      <c r="E33" s="167"/>
      <c r="F33" s="167"/>
      <c r="G33" s="167"/>
      <c r="H33" s="167"/>
      <c r="I33" s="158">
        <f>[1]Utilisation!$D$26</f>
        <v>95698.055999999997</v>
      </c>
      <c r="J33" s="158">
        <f>[2]Utilisation!$D$26</f>
        <v>95618.122000000003</v>
      </c>
      <c r="K33" s="158">
        <f>[3]Utilisation!$D$26</f>
        <v>95629.931999999957</v>
      </c>
      <c r="L33" s="158">
        <f>[4]Utilisation!$D$26</f>
        <v>91316.802999999985</v>
      </c>
      <c r="M33" s="158">
        <f>[5]Utilisation!$D$26</f>
        <v>93978.232999999993</v>
      </c>
      <c r="N33" s="159">
        <f>[6]Utilisation!$D$26</f>
        <v>96293.786999999968</v>
      </c>
      <c r="O33" s="7"/>
      <c r="P33" s="7"/>
      <c r="R33" s="17"/>
    </row>
    <row r="34" spans="1:18" outlineLevel="1" x14ac:dyDescent="0.25">
      <c r="A34" s="19"/>
      <c r="B34" s="8">
        <v>500</v>
      </c>
      <c r="C34" s="167"/>
      <c r="D34" s="167"/>
      <c r="E34" s="167"/>
      <c r="F34" s="167"/>
      <c r="G34" s="167"/>
      <c r="H34" s="167"/>
      <c r="I34" s="158">
        <f>[1]Utilisation!$D$36</f>
        <v>48476.3</v>
      </c>
      <c r="J34" s="158">
        <f>[2]Utilisation!$D$36</f>
        <v>49078.3</v>
      </c>
      <c r="K34" s="158">
        <f>[3]Utilisation!$D$36</f>
        <v>47922.3</v>
      </c>
      <c r="L34" s="158">
        <f>[4]Utilisation!$D$36</f>
        <v>46621.9</v>
      </c>
      <c r="M34" s="158">
        <f>[5]Utilisation!$D$36</f>
        <v>47214.9</v>
      </c>
      <c r="N34" s="159">
        <f>[6]Utilisation!$D$36</f>
        <v>47922.3</v>
      </c>
      <c r="O34" s="7"/>
      <c r="P34" s="7"/>
      <c r="R34" s="17"/>
    </row>
    <row r="35" spans="1:18" outlineLevel="1" x14ac:dyDescent="0.25">
      <c r="A35" s="19"/>
      <c r="B35" s="8">
        <v>330</v>
      </c>
      <c r="C35" s="167"/>
      <c r="D35" s="167"/>
      <c r="E35" s="167"/>
      <c r="F35" s="167"/>
      <c r="G35" s="167"/>
      <c r="H35" s="167"/>
      <c r="I35" s="158">
        <f>[1]Utilisation!$D$45</f>
        <v>4902.6370000000006</v>
      </c>
      <c r="J35" s="158">
        <f>[2]Utilisation!$D$45</f>
        <v>4642.7709999999997</v>
      </c>
      <c r="K35" s="158">
        <f>[3]Utilisation!$D$45</f>
        <v>4811.2469999999994</v>
      </c>
      <c r="L35" s="158">
        <f>[4]Utilisation!$D$45</f>
        <v>4449.4549999999999</v>
      </c>
      <c r="M35" s="158">
        <f>[5]Utilisation!$D$45</f>
        <v>4539.0920000000006</v>
      </c>
      <c r="N35" s="159">
        <f>[6]Utilisation!$D$45</f>
        <v>4564.3509999999997</v>
      </c>
      <c r="O35" s="7"/>
      <c r="P35" s="7"/>
      <c r="R35" s="17"/>
    </row>
    <row r="36" spans="1:18" outlineLevel="1" x14ac:dyDescent="0.25">
      <c r="A36" s="19"/>
      <c r="B36" s="8">
        <v>275</v>
      </c>
      <c r="C36" s="167"/>
      <c r="D36" s="167"/>
      <c r="E36" s="167"/>
      <c r="F36" s="167"/>
      <c r="G36" s="167"/>
      <c r="H36" s="167"/>
      <c r="I36" s="158">
        <f>[1]Utilisation!$D$54</f>
        <v>0</v>
      </c>
      <c r="J36" s="158">
        <f>[2]Utilisation!$D$54</f>
        <v>0</v>
      </c>
      <c r="K36" s="158">
        <f>[3]Utilisation!$D$54</f>
        <v>0</v>
      </c>
      <c r="L36" s="158">
        <f>[4]Utilisation!$D$54</f>
        <v>0</v>
      </c>
      <c r="M36" s="158">
        <f>[5]Utilisation!$D$54</f>
        <v>0</v>
      </c>
      <c r="N36" s="159">
        <f>[6]Utilisation!$D$54</f>
        <v>0</v>
      </c>
      <c r="O36" s="7"/>
      <c r="P36" s="7"/>
      <c r="R36" s="17"/>
    </row>
    <row r="37" spans="1:18" outlineLevel="1" x14ac:dyDescent="0.25">
      <c r="A37" s="19"/>
      <c r="B37" s="8">
        <v>220</v>
      </c>
      <c r="C37" s="167"/>
      <c r="D37" s="167"/>
      <c r="E37" s="167"/>
      <c r="F37" s="167"/>
      <c r="G37" s="167"/>
      <c r="H37" s="167"/>
      <c r="I37" s="158">
        <f>[1]Utilisation!$D$63</f>
        <v>41086.119000000006</v>
      </c>
      <c r="J37" s="158">
        <f>[2]Utilisation!$D$63</f>
        <v>40664.050999999999</v>
      </c>
      <c r="K37" s="158">
        <f>[3]Utilisation!$D$63</f>
        <v>41705.184999999983</v>
      </c>
      <c r="L37" s="158">
        <f>[4]Utilisation!$D$63</f>
        <v>39054.247999999992</v>
      </c>
      <c r="M37" s="158">
        <f>[5]Utilisation!$D$63</f>
        <v>40986.040999999997</v>
      </c>
      <c r="N37" s="159">
        <f>[6]Utilisation!$D$63</f>
        <v>42568.935999999987</v>
      </c>
      <c r="O37" s="7"/>
      <c r="P37" s="7"/>
      <c r="R37" s="17"/>
    </row>
    <row r="38" spans="1:18" outlineLevel="1" x14ac:dyDescent="0.25">
      <c r="A38" s="19"/>
      <c r="B38" s="8">
        <v>132</v>
      </c>
      <c r="C38" s="167"/>
      <c r="D38" s="167"/>
      <c r="E38" s="167"/>
      <c r="F38" s="167"/>
      <c r="G38" s="167"/>
      <c r="H38" s="167"/>
      <c r="I38" s="158">
        <f>[1]Utilisation!$D$72</f>
        <v>0</v>
      </c>
      <c r="J38" s="158">
        <f>[2]Utilisation!$D$72</f>
        <v>0</v>
      </c>
      <c r="K38" s="158">
        <f>[3]Utilisation!$D$72</f>
        <v>0</v>
      </c>
      <c r="L38" s="158">
        <f>[4]Utilisation!$D$72</f>
        <v>0</v>
      </c>
      <c r="M38" s="158">
        <f>[5]Utilisation!$D$72</f>
        <v>0</v>
      </c>
      <c r="N38" s="159">
        <f>[6]Utilisation!$D$72</f>
        <v>0</v>
      </c>
      <c r="O38" s="7"/>
      <c r="P38" s="7"/>
      <c r="R38" s="17"/>
    </row>
    <row r="39" spans="1:18" outlineLevel="1" x14ac:dyDescent="0.25">
      <c r="A39" s="19"/>
      <c r="B39" s="8">
        <v>110</v>
      </c>
      <c r="C39" s="167"/>
      <c r="D39" s="167"/>
      <c r="E39" s="167"/>
      <c r="F39" s="167"/>
      <c r="G39" s="167"/>
      <c r="H39" s="167"/>
      <c r="I39" s="158">
        <f>[1]Utilisation!$D$81</f>
        <v>0</v>
      </c>
      <c r="J39" s="158">
        <f>[2]Utilisation!$D$81</f>
        <v>0</v>
      </c>
      <c r="K39" s="158">
        <f>[3]Utilisation!$D$81</f>
        <v>0</v>
      </c>
      <c r="L39" s="158">
        <f>[4]Utilisation!$D$81</f>
        <v>0</v>
      </c>
      <c r="M39" s="158">
        <f>[5]Utilisation!$D$81</f>
        <v>0</v>
      </c>
      <c r="N39" s="159">
        <f>[6]Utilisation!$D$81</f>
        <v>0</v>
      </c>
      <c r="O39" s="7"/>
      <c r="P39" s="7"/>
      <c r="R39" s="17"/>
    </row>
    <row r="40" spans="1:18" outlineLevel="1" x14ac:dyDescent="0.25">
      <c r="A40" s="25"/>
      <c r="B40" s="79">
        <v>66</v>
      </c>
      <c r="C40" s="169"/>
      <c r="D40" s="169"/>
      <c r="E40" s="169"/>
      <c r="F40" s="169"/>
      <c r="G40" s="169"/>
      <c r="H40" s="169"/>
      <c r="I40" s="162">
        <f>[1]Utilisation!$D$90</f>
        <v>1233</v>
      </c>
      <c r="J40" s="162">
        <f>[2]Utilisation!$D$90</f>
        <v>1233</v>
      </c>
      <c r="K40" s="162">
        <f>[3]Utilisation!$D$90</f>
        <v>1191.2</v>
      </c>
      <c r="L40" s="162">
        <f>[4]Utilisation!$D$90</f>
        <v>1191.2</v>
      </c>
      <c r="M40" s="162">
        <f>[5]Utilisation!$D$90</f>
        <v>1238.2</v>
      </c>
      <c r="N40" s="163">
        <f>[6]Utilisation!$D$90</f>
        <v>1238.2</v>
      </c>
      <c r="O40" s="7"/>
      <c r="P40" s="7"/>
      <c r="R40" s="17"/>
    </row>
    <row r="41" spans="1:18" outlineLevel="1" x14ac:dyDescent="0.25">
      <c r="A41" s="58"/>
      <c r="B41" s="143"/>
      <c r="C41" s="242" t="s">
        <v>82</v>
      </c>
      <c r="D41" s="242"/>
      <c r="E41" s="242"/>
      <c r="F41" s="242"/>
      <c r="G41" s="242"/>
      <c r="H41" s="242"/>
      <c r="I41" s="242"/>
      <c r="J41" s="242"/>
      <c r="K41" s="242"/>
      <c r="L41" s="242"/>
      <c r="M41" s="242"/>
      <c r="N41" s="243"/>
      <c r="O41" s="7"/>
      <c r="P41" s="7"/>
      <c r="R41" s="17"/>
    </row>
    <row r="42" spans="1:18" outlineLevel="1" x14ac:dyDescent="0.25">
      <c r="A42" s="19" t="s">
        <v>17</v>
      </c>
      <c r="B42" s="141" t="s">
        <v>1</v>
      </c>
      <c r="C42" s="167"/>
      <c r="D42" s="167"/>
      <c r="E42" s="167"/>
      <c r="F42" s="167"/>
      <c r="G42" s="167"/>
      <c r="H42" s="167"/>
      <c r="I42" s="158">
        <f>[1]Utilisation!$D$28</f>
        <v>5995.614774524729</v>
      </c>
      <c r="J42" s="158">
        <f>[2]Utilisation!$D$28</f>
        <v>6009.0587683872445</v>
      </c>
      <c r="K42" s="158">
        <f>[3]Utilisation!$D$28</f>
        <v>6074.455565839633</v>
      </c>
      <c r="L42" s="158">
        <f>[4]Utilisation!$D$28</f>
        <v>6069.2123004982859</v>
      </c>
      <c r="M42" s="158">
        <f>[5]Utilisation!$D$28</f>
        <v>6074.1401331901179</v>
      </c>
      <c r="N42" s="159">
        <f>[6]Utilisation!$D$28</f>
        <v>6086.3789871093368</v>
      </c>
      <c r="O42" s="7"/>
      <c r="P42" s="7"/>
      <c r="R42" s="17"/>
    </row>
    <row r="43" spans="1:18" outlineLevel="1" x14ac:dyDescent="0.25">
      <c r="A43" s="19"/>
      <c r="B43" s="8">
        <v>500</v>
      </c>
      <c r="C43" s="167"/>
      <c r="D43" s="167"/>
      <c r="E43" s="167"/>
      <c r="F43" s="167"/>
      <c r="G43" s="167"/>
      <c r="H43" s="167"/>
      <c r="I43" s="158">
        <f>[1]Utilisation!$D$38</f>
        <v>1446.1046617137413</v>
      </c>
      <c r="J43" s="158">
        <f>[2]Utilisation!$D$38</f>
        <v>1446.1046617137413</v>
      </c>
      <c r="K43" s="158">
        <f>[3]Utilisation!$D$38</f>
        <v>1446.1046617137413</v>
      </c>
      <c r="L43" s="158">
        <f>[4]Utilisation!$D$38</f>
        <v>1446.1046617137413</v>
      </c>
      <c r="M43" s="158">
        <f>[5]Utilisation!$D$38</f>
        <v>1446.1046617137413</v>
      </c>
      <c r="N43" s="159">
        <f>[6]Utilisation!$D$38</f>
        <v>1459.9599999999998</v>
      </c>
      <c r="O43" s="7"/>
      <c r="P43" s="7"/>
      <c r="R43" s="17"/>
    </row>
    <row r="44" spans="1:18" outlineLevel="1" x14ac:dyDescent="0.25">
      <c r="A44" s="19"/>
      <c r="B44" s="8">
        <v>330</v>
      </c>
      <c r="C44" s="167"/>
      <c r="D44" s="167"/>
      <c r="E44" s="167"/>
      <c r="F44" s="167"/>
      <c r="G44" s="167"/>
      <c r="H44" s="167"/>
      <c r="I44" s="158">
        <f>[1]Utilisation!$D$47</f>
        <v>724.03326534134681</v>
      </c>
      <c r="J44" s="158">
        <f>[2]Utilisation!$D$47</f>
        <v>724.03326534134681</v>
      </c>
      <c r="K44" s="158">
        <f>[3]Utilisation!$D$47</f>
        <v>724.03326534134681</v>
      </c>
      <c r="L44" s="158">
        <f>[4]Utilisation!$D$47</f>
        <v>718.79</v>
      </c>
      <c r="M44" s="158">
        <f>[5]Utilisation!$D$47</f>
        <v>718.79</v>
      </c>
      <c r="N44" s="159">
        <f>[6]Utilisation!$D$47</f>
        <v>718.79</v>
      </c>
      <c r="O44" s="7"/>
      <c r="P44" s="7"/>
      <c r="R44" s="17"/>
    </row>
    <row r="45" spans="1:18" outlineLevel="1" x14ac:dyDescent="0.25">
      <c r="A45" s="19"/>
      <c r="B45" s="8">
        <v>275</v>
      </c>
      <c r="C45" s="167"/>
      <c r="D45" s="167"/>
      <c r="E45" s="167"/>
      <c r="F45" s="167"/>
      <c r="G45" s="167"/>
      <c r="H45" s="167"/>
      <c r="I45" s="158">
        <f>[1]Utilisation!$D$56</f>
        <v>0</v>
      </c>
      <c r="J45" s="158">
        <f>[2]Utilisation!$D$56</f>
        <v>0</v>
      </c>
      <c r="K45" s="158">
        <f>[3]Utilisation!$D$56</f>
        <v>0</v>
      </c>
      <c r="L45" s="158">
        <f>[4]Utilisation!$D$56</f>
        <v>0</v>
      </c>
      <c r="M45" s="158">
        <f>[5]Utilisation!$D$56</f>
        <v>0</v>
      </c>
      <c r="N45" s="159">
        <f>[6]Utilisation!$D$56</f>
        <v>0</v>
      </c>
      <c r="O45" s="7"/>
      <c r="P45" s="7"/>
      <c r="R45" s="17"/>
    </row>
    <row r="46" spans="1:18" outlineLevel="1" x14ac:dyDescent="0.25">
      <c r="A46" s="19"/>
      <c r="B46" s="8">
        <v>220</v>
      </c>
      <c r="C46" s="167"/>
      <c r="D46" s="167"/>
      <c r="E46" s="167"/>
      <c r="F46" s="167"/>
      <c r="G46" s="167"/>
      <c r="H46" s="167"/>
      <c r="I46" s="158">
        <f>[1]Utilisation!$D$65</f>
        <v>3620.9880858361948</v>
      </c>
      <c r="J46" s="158">
        <f>[2]Utilisation!$D$65</f>
        <v>3634.4320796987099</v>
      </c>
      <c r="K46" s="158">
        <f>[3]Utilisation!$D$65</f>
        <v>3620.9880858361948</v>
      </c>
      <c r="L46" s="158">
        <f>[4]Utilisation!$D$65</f>
        <v>3620.9880858361948</v>
      </c>
      <c r="M46" s="158">
        <f>[5]Utilisation!$D$65</f>
        <v>3614.4574188363272</v>
      </c>
      <c r="N46" s="159">
        <f>[6]Utilisation!$D$65</f>
        <v>3612.8409344692868</v>
      </c>
      <c r="O46" s="7"/>
      <c r="P46" s="7"/>
      <c r="R46" s="17"/>
    </row>
    <row r="47" spans="1:18" outlineLevel="1" x14ac:dyDescent="0.25">
      <c r="A47" s="19"/>
      <c r="B47" s="8">
        <v>132</v>
      </c>
      <c r="C47" s="167"/>
      <c r="D47" s="167"/>
      <c r="E47" s="167"/>
      <c r="F47" s="167"/>
      <c r="G47" s="167"/>
      <c r="H47" s="167"/>
      <c r="I47" s="158">
        <f>[1]Utilisation!$D$74</f>
        <v>0</v>
      </c>
      <c r="J47" s="158">
        <f>[2]Utilisation!$D$74</f>
        <v>0</v>
      </c>
      <c r="K47" s="158">
        <f>[3]Utilisation!$D$74</f>
        <v>0</v>
      </c>
      <c r="L47" s="158">
        <f>[4]Utilisation!$D$74</f>
        <v>0</v>
      </c>
      <c r="M47" s="158">
        <f>[5]Utilisation!$D$74</f>
        <v>0</v>
      </c>
      <c r="N47" s="159">
        <f>[6]Utilisation!$D$74</f>
        <v>0</v>
      </c>
      <c r="O47" s="7"/>
      <c r="P47" s="7"/>
      <c r="R47" s="17"/>
    </row>
    <row r="48" spans="1:18" outlineLevel="1" x14ac:dyDescent="0.25">
      <c r="A48" s="19"/>
      <c r="B48" s="8">
        <v>110</v>
      </c>
      <c r="C48" s="167"/>
      <c r="D48" s="167"/>
      <c r="E48" s="167"/>
      <c r="F48" s="167"/>
      <c r="G48" s="167"/>
      <c r="H48" s="167"/>
      <c r="I48" s="158">
        <f>[1]Utilisation!$D$83</f>
        <v>0</v>
      </c>
      <c r="J48" s="158">
        <f>[2]Utilisation!$D$83</f>
        <v>0</v>
      </c>
      <c r="K48" s="158">
        <f>[3]Utilisation!$D$83</f>
        <v>0</v>
      </c>
      <c r="L48" s="158">
        <f>[4]Utilisation!$D$83</f>
        <v>0</v>
      </c>
      <c r="M48" s="158">
        <f>[5]Utilisation!$D$83</f>
        <v>0</v>
      </c>
      <c r="N48" s="159">
        <f>[6]Utilisation!$D$83</f>
        <v>0</v>
      </c>
      <c r="O48" s="7"/>
      <c r="P48" s="7"/>
      <c r="R48" s="17"/>
    </row>
    <row r="49" spans="1:18" outlineLevel="1" x14ac:dyDescent="0.25">
      <c r="A49" s="25"/>
      <c r="B49" s="79">
        <v>66</v>
      </c>
      <c r="C49" s="169"/>
      <c r="D49" s="169"/>
      <c r="E49" s="169"/>
      <c r="F49" s="169"/>
      <c r="G49" s="169"/>
      <c r="H49" s="169"/>
      <c r="I49" s="162">
        <f>[1]Utilisation!$D$92</f>
        <v>204.48876163344772</v>
      </c>
      <c r="J49" s="162">
        <f>[2]Utilisation!$D$92</f>
        <v>204.48876163344772</v>
      </c>
      <c r="K49" s="162">
        <f>[3]Utilisation!$D$92</f>
        <v>283.32955294835108</v>
      </c>
      <c r="L49" s="162">
        <f>[4]Utilisation!$D$92</f>
        <v>283.32955294835108</v>
      </c>
      <c r="M49" s="162">
        <f>[5]Utilisation!$D$92</f>
        <v>294.7880526400499</v>
      </c>
      <c r="N49" s="163">
        <f>[6]Utilisation!$D$92</f>
        <v>294.7880526400499</v>
      </c>
      <c r="O49" s="7"/>
      <c r="P49" s="7"/>
      <c r="R49" s="17"/>
    </row>
    <row r="50" spans="1:18" outlineLevel="1" x14ac:dyDescent="0.25">
      <c r="A50" s="57"/>
      <c r="B50" s="139"/>
      <c r="C50" s="251" t="s">
        <v>83</v>
      </c>
      <c r="D50" s="251"/>
      <c r="E50" s="251"/>
      <c r="F50" s="251"/>
      <c r="G50" s="251"/>
      <c r="H50" s="251"/>
      <c r="I50" s="251"/>
      <c r="J50" s="251"/>
      <c r="K50" s="251"/>
      <c r="L50" s="251"/>
      <c r="M50" s="251"/>
      <c r="N50" s="252"/>
      <c r="O50" s="176" t="s">
        <v>7</v>
      </c>
      <c r="P50" s="7"/>
      <c r="R50" s="17"/>
    </row>
    <row r="51" spans="1:18" outlineLevel="1" x14ac:dyDescent="0.25">
      <c r="A51" s="19" t="s">
        <v>17</v>
      </c>
      <c r="B51" s="141" t="s">
        <v>1</v>
      </c>
      <c r="C51" s="167"/>
      <c r="D51" s="167"/>
      <c r="E51" s="167"/>
      <c r="F51" s="167"/>
      <c r="G51" s="167"/>
      <c r="H51" s="167"/>
      <c r="I51" s="158">
        <f>[1]Utilisation!$D$29</f>
        <v>5631766.1139358506</v>
      </c>
      <c r="J51" s="158">
        <f>[2]Utilisation!$D$29</f>
        <v>5653223.306620813</v>
      </c>
      <c r="K51" s="158">
        <f>[3]Utilisation!$D$29</f>
        <v>5664937.3729184698</v>
      </c>
      <c r="L51" s="158">
        <f>[4]Utilisation!$D$29</f>
        <v>5427377.6789434766</v>
      </c>
      <c r="M51" s="158">
        <f>[5]Utilisation!$D$29</f>
        <v>5515859.1231497694</v>
      </c>
      <c r="N51" s="159">
        <f>[6]Utilisation!$D$29</f>
        <v>5577013.7781743882</v>
      </c>
      <c r="O51" s="175">
        <f>AVERAGE(I51:N51)</f>
        <v>5578362.8956237948</v>
      </c>
      <c r="P51" s="7"/>
      <c r="R51" s="17"/>
    </row>
    <row r="52" spans="1:18" outlineLevel="1" x14ac:dyDescent="0.25">
      <c r="A52" s="19"/>
      <c r="B52" s="8">
        <v>500</v>
      </c>
      <c r="C52" s="167"/>
      <c r="D52" s="167"/>
      <c r="E52" s="167"/>
      <c r="F52" s="167"/>
      <c r="G52" s="167"/>
      <c r="H52" s="167"/>
      <c r="I52" s="158">
        <f>[1]Utilisation!$D$35</f>
        <v>3678033.0914557278</v>
      </c>
      <c r="J52" s="158">
        <f>[2]Utilisation!$D$35</f>
        <v>3706216.1914557279</v>
      </c>
      <c r="K52" s="158">
        <f>[3]Utilisation!$D$35</f>
        <v>3670105.0314557273</v>
      </c>
      <c r="L52" s="158">
        <f>[4]Utilisation!$D$35</f>
        <v>3597127.8434557277</v>
      </c>
      <c r="M52" s="158">
        <f>[5]Utilisation!$D$35</f>
        <v>3605614.8334557274</v>
      </c>
      <c r="N52" s="159">
        <f>[6]Utilisation!$D$35</f>
        <v>3658428.9109999994</v>
      </c>
      <c r="O52" s="175">
        <f>AVERAGE(I52:N52)</f>
        <v>3652587.6503797728</v>
      </c>
      <c r="P52" s="7"/>
      <c r="R52" s="17"/>
    </row>
    <row r="53" spans="1:18" outlineLevel="1" x14ac:dyDescent="0.25">
      <c r="A53" s="19"/>
      <c r="B53" s="8">
        <v>330</v>
      </c>
      <c r="C53" s="167"/>
      <c r="D53" s="167"/>
      <c r="E53" s="167"/>
      <c r="F53" s="167"/>
      <c r="G53" s="167"/>
      <c r="H53" s="167"/>
      <c r="I53" s="158">
        <f>[1]Utilisation!$D$44</f>
        <v>708011.4283817074</v>
      </c>
      <c r="J53" s="158">
        <f>[2]Utilisation!$D$44</f>
        <v>659920.49858170748</v>
      </c>
      <c r="K53" s="158">
        <f>[3]Utilisation!$D$44</f>
        <v>687421.26138170739</v>
      </c>
      <c r="L53" s="158">
        <f>[4]Utilisation!$D$44</f>
        <v>628807.18150000006</v>
      </c>
      <c r="M53" s="158">
        <f>[5]Utilisation!$D$44</f>
        <v>637790.70759999997</v>
      </c>
      <c r="N53" s="159">
        <f>[6]Utilisation!$D$44</f>
        <v>643481.5602999999</v>
      </c>
      <c r="O53" s="175">
        <f>AVERAGE(I53:N53)</f>
        <v>660905.43962418707</v>
      </c>
      <c r="P53" s="7"/>
      <c r="R53" s="17"/>
    </row>
    <row r="54" spans="1:18" outlineLevel="1" x14ac:dyDescent="0.25">
      <c r="A54" s="19"/>
      <c r="B54" s="8">
        <v>275</v>
      </c>
      <c r="C54" s="167"/>
      <c r="D54" s="167"/>
      <c r="E54" s="167"/>
      <c r="F54" s="167"/>
      <c r="G54" s="167"/>
      <c r="H54" s="167"/>
      <c r="I54" s="158">
        <f>[1]Utilisation!$D$53</f>
        <v>0</v>
      </c>
      <c r="J54" s="158">
        <f>[2]Utilisation!$D$53</f>
        <v>0</v>
      </c>
      <c r="K54" s="158">
        <f>[3]Utilisation!$D$53</f>
        <v>0</v>
      </c>
      <c r="L54" s="158">
        <f>[4]Utilisation!$D$53</f>
        <v>0</v>
      </c>
      <c r="M54" s="158">
        <f>[5]Utilisation!$D$53</f>
        <v>0</v>
      </c>
      <c r="N54" s="159">
        <f>[6]Utilisation!$D$53</f>
        <v>0</v>
      </c>
      <c r="O54" s="175">
        <f t="shared" ref="O54:O58" si="2">AVERAGE(I54:N54)</f>
        <v>0</v>
      </c>
      <c r="P54" s="7"/>
      <c r="R54" s="17"/>
    </row>
    <row r="55" spans="1:18" outlineLevel="1" x14ac:dyDescent="0.25">
      <c r="A55" s="19"/>
      <c r="B55" s="8">
        <v>220</v>
      </c>
      <c r="C55" s="167"/>
      <c r="D55" s="167"/>
      <c r="E55" s="167"/>
      <c r="F55" s="167"/>
      <c r="G55" s="167"/>
      <c r="H55" s="167"/>
      <c r="I55" s="158">
        <f>[1]Utilisation!$D$62</f>
        <v>1232961.1063178496</v>
      </c>
      <c r="J55" s="158">
        <f>[2]Utilisation!$D$62</f>
        <v>1274326.1288028131</v>
      </c>
      <c r="K55" s="158">
        <f>[3]Utilisation!$D$62</f>
        <v>1292401.3965121086</v>
      </c>
      <c r="L55" s="158">
        <f>[4]Utilisation!$D$62</f>
        <v>1186432.9704188225</v>
      </c>
      <c r="M55" s="158">
        <f>[5]Utilisation!$D$62</f>
        <v>1256905.3490396049</v>
      </c>
      <c r="N55" s="159">
        <f>[6]Utilisation!$D$62</f>
        <v>1259555.0738199514</v>
      </c>
      <c r="O55" s="175">
        <f t="shared" si="2"/>
        <v>1250430.3374851916</v>
      </c>
      <c r="P55" s="7"/>
      <c r="R55" s="17"/>
    </row>
    <row r="56" spans="1:18" outlineLevel="1" x14ac:dyDescent="0.25">
      <c r="A56" s="19"/>
      <c r="B56" s="8">
        <v>132</v>
      </c>
      <c r="C56" s="167"/>
      <c r="D56" s="167"/>
      <c r="E56" s="167"/>
      <c r="F56" s="167"/>
      <c r="G56" s="167"/>
      <c r="H56" s="167"/>
      <c r="I56" s="158">
        <f>[1]Utilisation!$D$71</f>
        <v>0</v>
      </c>
      <c r="J56" s="158">
        <f>[2]Utilisation!$D$71</f>
        <v>0</v>
      </c>
      <c r="K56" s="158">
        <f>[3]Utilisation!$D$71</f>
        <v>0</v>
      </c>
      <c r="L56" s="158">
        <f>[4]Utilisation!$D$71</f>
        <v>0</v>
      </c>
      <c r="M56" s="158">
        <f>[5]Utilisation!$D$71</f>
        <v>0</v>
      </c>
      <c r="N56" s="159">
        <f>[6]Utilisation!$D$71</f>
        <v>0</v>
      </c>
      <c r="O56" s="175">
        <f t="shared" si="2"/>
        <v>0</v>
      </c>
      <c r="P56" s="7"/>
      <c r="R56" s="17"/>
    </row>
    <row r="57" spans="1:18" outlineLevel="1" x14ac:dyDescent="0.25">
      <c r="A57" s="19"/>
      <c r="B57" s="8">
        <v>110</v>
      </c>
      <c r="C57" s="167"/>
      <c r="D57" s="167"/>
      <c r="E57" s="167"/>
      <c r="F57" s="167"/>
      <c r="G57" s="167"/>
      <c r="H57" s="167"/>
      <c r="I57" s="158">
        <f>[1]Utilisation!$D$80</f>
        <v>0</v>
      </c>
      <c r="J57" s="158">
        <f>[2]Utilisation!$D$80</f>
        <v>0</v>
      </c>
      <c r="K57" s="158">
        <f>[3]Utilisation!$D$80</f>
        <v>0</v>
      </c>
      <c r="L57" s="158">
        <f>[4]Utilisation!$D$80</f>
        <v>0</v>
      </c>
      <c r="M57" s="158">
        <f>[5]Utilisation!$D$80</f>
        <v>0</v>
      </c>
      <c r="N57" s="159">
        <f>[6]Utilisation!$D$80</f>
        <v>0</v>
      </c>
      <c r="O57" s="175">
        <f t="shared" si="2"/>
        <v>0</v>
      </c>
      <c r="P57" s="7"/>
      <c r="R57" s="17"/>
    </row>
    <row r="58" spans="1:18" ht="16.5" outlineLevel="1" thickBot="1" x14ac:dyDescent="0.3">
      <c r="A58" s="22"/>
      <c r="B58" s="81">
        <v>66</v>
      </c>
      <c r="C58" s="169"/>
      <c r="D58" s="169"/>
      <c r="E58" s="169"/>
      <c r="F58" s="169"/>
      <c r="G58" s="169"/>
      <c r="H58" s="169"/>
      <c r="I58" s="164">
        <f>[1]Utilisation!$D$89</f>
        <v>12760.487780561323</v>
      </c>
      <c r="J58" s="164">
        <f>[2]Utilisation!$D$89</f>
        <v>12760.487780561323</v>
      </c>
      <c r="K58" s="164">
        <f>[3]Utilisation!$D$89</f>
        <v>15009.6835689244</v>
      </c>
      <c r="L58" s="164">
        <f>[4]Utilisation!$D$89</f>
        <v>15009.6835689244</v>
      </c>
      <c r="M58" s="164">
        <f>[5]Utilisation!$D$89</f>
        <v>15548.233054434244</v>
      </c>
      <c r="N58" s="165">
        <f>[6]Utilisation!$D$89</f>
        <v>15548.233054434244</v>
      </c>
      <c r="O58" s="175">
        <f t="shared" si="2"/>
        <v>14439.468134639988</v>
      </c>
      <c r="P58" s="7"/>
      <c r="R58" s="17"/>
    </row>
    <row r="59" spans="1:18" ht="21" outlineLevel="1" x14ac:dyDescent="0.35">
      <c r="A59" s="19"/>
      <c r="B59" s="8"/>
      <c r="C59" s="245" t="s">
        <v>84</v>
      </c>
      <c r="D59" s="245"/>
      <c r="E59" s="245"/>
      <c r="F59" s="245"/>
      <c r="G59" s="245"/>
      <c r="H59" s="245"/>
      <c r="I59" s="245"/>
      <c r="J59" s="245"/>
      <c r="K59" s="245"/>
      <c r="L59" s="245"/>
      <c r="M59" s="245"/>
      <c r="N59" s="246"/>
      <c r="O59" s="7"/>
      <c r="P59" s="7"/>
    </row>
    <row r="60" spans="1:18" outlineLevel="1" x14ac:dyDescent="0.25">
      <c r="A60" s="19"/>
      <c r="B60" s="8"/>
      <c r="C60" s="242" t="s">
        <v>85</v>
      </c>
      <c r="D60" s="242"/>
      <c r="E60" s="242"/>
      <c r="F60" s="242"/>
      <c r="G60" s="242"/>
      <c r="H60" s="242"/>
      <c r="I60" s="242"/>
      <c r="J60" s="242"/>
      <c r="K60" s="242"/>
      <c r="L60" s="242"/>
      <c r="M60" s="242"/>
      <c r="N60" s="243"/>
      <c r="O60" s="7"/>
      <c r="P60" s="7"/>
    </row>
    <row r="61" spans="1:18" outlineLevel="1" x14ac:dyDescent="0.25">
      <c r="A61" s="128" t="s">
        <v>6</v>
      </c>
      <c r="B61" s="144" t="s">
        <v>1</v>
      </c>
      <c r="C61" s="129">
        <f>C76</f>
        <v>0</v>
      </c>
      <c r="D61" s="167"/>
      <c r="E61" s="167"/>
      <c r="F61" s="167"/>
      <c r="G61" s="167"/>
      <c r="H61" s="167"/>
      <c r="I61" s="129">
        <f t="shared" ref="I61:N62" si="3">I76</f>
        <v>0.61708222261057444</v>
      </c>
      <c r="J61" s="129">
        <f t="shared" si="3"/>
        <v>0.67934746916639355</v>
      </c>
      <c r="K61" s="129">
        <f t="shared" si="3"/>
        <v>0.60988088426705067</v>
      </c>
      <c r="L61" s="129">
        <f t="shared" si="3"/>
        <v>0.58580199462842597</v>
      </c>
      <c r="M61" s="129">
        <f t="shared" si="3"/>
        <v>0.55092111086742912</v>
      </c>
      <c r="N61" s="133">
        <f t="shared" si="3"/>
        <v>0.56166570641244362</v>
      </c>
      <c r="O61" s="7"/>
      <c r="P61" s="7"/>
    </row>
    <row r="62" spans="1:18" outlineLevel="1" x14ac:dyDescent="0.25">
      <c r="A62" s="130"/>
      <c r="B62" s="145" t="s">
        <v>15</v>
      </c>
      <c r="C62" s="131">
        <f>C77</f>
        <v>0.5236427995978139</v>
      </c>
      <c r="D62" s="167"/>
      <c r="E62" s="167"/>
      <c r="F62" s="167"/>
      <c r="G62" s="167"/>
      <c r="H62" s="167"/>
      <c r="I62" s="131">
        <f t="shared" si="3"/>
        <v>0.58409854358787161</v>
      </c>
      <c r="J62" s="131">
        <f t="shared" si="3"/>
        <v>0.68701746640614758</v>
      </c>
      <c r="K62" s="131">
        <f t="shared" si="3"/>
        <v>0.56278856603092509</v>
      </c>
      <c r="L62" s="131">
        <f t="shared" si="3"/>
        <v>0.53089903858906173</v>
      </c>
      <c r="M62" s="131">
        <f t="shared" si="3"/>
        <v>0.49613832071046815</v>
      </c>
      <c r="N62" s="134">
        <f t="shared" si="3"/>
        <v>0.53380734930352713</v>
      </c>
      <c r="O62" s="7"/>
      <c r="P62" s="7"/>
    </row>
    <row r="63" spans="1:18" outlineLevel="1" x14ac:dyDescent="0.25">
      <c r="A63" s="114" t="s">
        <v>17</v>
      </c>
      <c r="B63" s="146" t="s">
        <v>1</v>
      </c>
      <c r="C63" s="127">
        <f>C86</f>
        <v>0.26353184726204038</v>
      </c>
      <c r="D63" s="169"/>
      <c r="E63" s="169"/>
      <c r="F63" s="169"/>
      <c r="G63" s="169"/>
      <c r="H63" s="169"/>
      <c r="I63" s="127">
        <f t="shared" ref="I63:N63" si="4">I86</f>
        <v>0.33261563614571921</v>
      </c>
      <c r="J63" s="127">
        <f t="shared" si="4"/>
        <v>0.35966549229971601</v>
      </c>
      <c r="K63" s="127">
        <f t="shared" si="4"/>
        <v>0.37798288487576787</v>
      </c>
      <c r="L63" s="127">
        <f t="shared" si="4"/>
        <v>0.36923992654261273</v>
      </c>
      <c r="M63" s="127">
        <f t="shared" si="4"/>
        <v>0.34437951737351669</v>
      </c>
      <c r="N63" s="135">
        <f t="shared" si="4"/>
        <v>0.33556567161142453</v>
      </c>
      <c r="O63" s="7"/>
      <c r="P63" s="7"/>
    </row>
    <row r="64" spans="1:18" outlineLevel="1" x14ac:dyDescent="0.25">
      <c r="A64" s="19"/>
      <c r="B64" s="8"/>
      <c r="C64" s="242" t="s">
        <v>86</v>
      </c>
      <c r="D64" s="242"/>
      <c r="E64" s="242"/>
      <c r="F64" s="242"/>
      <c r="G64" s="242"/>
      <c r="H64" s="242"/>
      <c r="I64" s="242"/>
      <c r="J64" s="242"/>
      <c r="K64" s="242"/>
      <c r="L64" s="242"/>
      <c r="M64" s="242"/>
      <c r="N64" s="243"/>
      <c r="O64" s="7"/>
      <c r="P64" s="7"/>
    </row>
    <row r="65" spans="1:16" outlineLevel="1" x14ac:dyDescent="0.25">
      <c r="A65" s="128" t="s">
        <v>6</v>
      </c>
      <c r="B65" s="144" t="s">
        <v>1</v>
      </c>
      <c r="C65" s="129">
        <f>C61*$C$104</f>
        <v>0</v>
      </c>
      <c r="D65" s="167"/>
      <c r="E65" s="167"/>
      <c r="F65" s="167"/>
      <c r="G65" s="167"/>
      <c r="H65" s="167"/>
      <c r="I65" s="129">
        <f t="shared" ref="I65:N66" si="5">I61*$C$104</f>
        <v>0.5070358929116886</v>
      </c>
      <c r="J65" s="129">
        <f t="shared" si="5"/>
        <v>0.55819717049838669</v>
      </c>
      <c r="K65" s="129">
        <f t="shared" si="5"/>
        <v>0.50111879323942665</v>
      </c>
      <c r="L65" s="129">
        <f t="shared" si="5"/>
        <v>0.48133397225302332</v>
      </c>
      <c r="M65" s="129">
        <f t="shared" si="5"/>
        <v>0.4526735127627376</v>
      </c>
      <c r="N65" s="133">
        <f t="shared" si="5"/>
        <v>0.46150198876889115</v>
      </c>
      <c r="O65" s="7"/>
      <c r="P65" s="7"/>
    </row>
    <row r="66" spans="1:16" outlineLevel="1" x14ac:dyDescent="0.25">
      <c r="A66" s="130"/>
      <c r="B66" s="145" t="s">
        <v>15</v>
      </c>
      <c r="C66" s="131">
        <f>C62*$C$104</f>
        <v>0.43025983366953707</v>
      </c>
      <c r="D66" s="167"/>
      <c r="E66" s="167"/>
      <c r="F66" s="167"/>
      <c r="G66" s="167"/>
      <c r="H66" s="167"/>
      <c r="I66" s="131">
        <f t="shared" si="5"/>
        <v>0.47993430331470116</v>
      </c>
      <c r="J66" s="131">
        <f t="shared" si="5"/>
        <v>0.56449935156371789</v>
      </c>
      <c r="K66" s="131">
        <f t="shared" si="5"/>
        <v>0.46242460508874345</v>
      </c>
      <c r="L66" s="131">
        <f t="shared" si="5"/>
        <v>0.43622204337401238</v>
      </c>
      <c r="M66" s="131">
        <f t="shared" si="5"/>
        <v>0.40766032018376797</v>
      </c>
      <c r="N66" s="134">
        <f t="shared" si="5"/>
        <v>0.43861170534439814</v>
      </c>
      <c r="O66" s="7"/>
      <c r="P66" s="7"/>
    </row>
    <row r="67" spans="1:16" ht="16.5" outlineLevel="1" thickBot="1" x14ac:dyDescent="0.3">
      <c r="A67" s="136" t="s">
        <v>17</v>
      </c>
      <c r="B67" s="147" t="s">
        <v>1</v>
      </c>
      <c r="C67" s="137">
        <f>C63*$D$104</f>
        <v>0.21653533450030985</v>
      </c>
      <c r="D67" s="174"/>
      <c r="E67" s="174"/>
      <c r="F67" s="174"/>
      <c r="G67" s="174"/>
      <c r="H67" s="174"/>
      <c r="I67" s="137">
        <f t="shared" ref="I67:N67" si="6">I63*$D$104</f>
        <v>0.27329918103306594</v>
      </c>
      <c r="J67" s="137">
        <f t="shared" si="6"/>
        <v>0.2955251461729333</v>
      </c>
      <c r="K67" s="137">
        <f t="shared" si="6"/>
        <v>0.31057593707292258</v>
      </c>
      <c r="L67" s="137">
        <f t="shared" si="6"/>
        <v>0.30339213964251344</v>
      </c>
      <c r="M67" s="137">
        <f t="shared" si="6"/>
        <v>0.28296517010857286</v>
      </c>
      <c r="N67" s="138">
        <f t="shared" si="6"/>
        <v>0.27572312684072048</v>
      </c>
      <c r="O67" s="7"/>
      <c r="P67" s="7"/>
    </row>
    <row r="68" spans="1:16" ht="16.5" thickBot="1" x14ac:dyDescent="0.3">
      <c r="A68" s="19"/>
      <c r="B68" s="7"/>
      <c r="C68" s="7"/>
      <c r="D68" s="7"/>
      <c r="E68" s="7"/>
      <c r="F68" s="7"/>
      <c r="G68" s="7"/>
      <c r="H68" s="7"/>
      <c r="I68" s="7"/>
      <c r="J68" s="7"/>
      <c r="K68" s="7"/>
      <c r="L68" s="7"/>
      <c r="M68" s="7"/>
      <c r="N68" s="7"/>
      <c r="O68" s="7"/>
      <c r="P68" s="7"/>
    </row>
    <row r="69" spans="1:16" ht="24" thickBot="1" x14ac:dyDescent="0.4">
      <c r="A69" s="54" t="s">
        <v>135</v>
      </c>
      <c r="B69" s="55"/>
      <c r="C69" s="55"/>
      <c r="D69" s="55"/>
      <c r="E69" s="55"/>
      <c r="F69" s="55"/>
      <c r="G69" s="55"/>
      <c r="H69" s="55"/>
      <c r="I69" s="55"/>
      <c r="J69" s="55"/>
      <c r="K69" s="55"/>
      <c r="L69" s="55"/>
      <c r="M69" s="55"/>
      <c r="N69" s="56"/>
      <c r="O69" s="7"/>
      <c r="P69" s="7"/>
    </row>
    <row r="70" spans="1:16" outlineLevel="1" x14ac:dyDescent="0.25">
      <c r="A70" s="20" t="s">
        <v>88</v>
      </c>
      <c r="B70" s="7"/>
      <c r="C70" s="7"/>
      <c r="D70" s="7"/>
      <c r="E70" s="7"/>
      <c r="F70" s="7"/>
      <c r="G70" s="7"/>
      <c r="H70" s="7"/>
      <c r="I70" s="7"/>
      <c r="J70" s="7"/>
      <c r="K70" s="7"/>
      <c r="L70" s="7"/>
      <c r="M70" s="7"/>
      <c r="N70" s="18"/>
      <c r="O70" s="7"/>
      <c r="P70" s="7"/>
    </row>
    <row r="71" spans="1:16" outlineLevel="1" x14ac:dyDescent="0.25">
      <c r="A71" s="20"/>
      <c r="B71" s="185" t="s">
        <v>80</v>
      </c>
      <c r="C71" s="21">
        <v>2000</v>
      </c>
      <c r="D71" s="21">
        <v>2001</v>
      </c>
      <c r="E71" s="21">
        <v>2002</v>
      </c>
      <c r="F71" s="21">
        <v>2003</v>
      </c>
      <c r="G71" s="21">
        <v>2004</v>
      </c>
      <c r="H71" s="21">
        <v>2005</v>
      </c>
      <c r="I71" s="21">
        <v>2006</v>
      </c>
      <c r="J71" s="21">
        <v>2007</v>
      </c>
      <c r="K71" s="21">
        <v>2008</v>
      </c>
      <c r="L71" s="21">
        <v>2009</v>
      </c>
      <c r="M71" s="21">
        <v>2010</v>
      </c>
      <c r="N71" s="195">
        <v>2011</v>
      </c>
      <c r="O71" s="7"/>
      <c r="P71" s="7"/>
    </row>
    <row r="72" spans="1:16" outlineLevel="1" x14ac:dyDescent="0.25">
      <c r="A72" s="19" t="s">
        <v>22</v>
      </c>
      <c r="B72" s="8" t="s">
        <v>14</v>
      </c>
      <c r="C72" s="48">
        <v>7832</v>
      </c>
      <c r="D72" s="48">
        <v>8088</v>
      </c>
      <c r="E72" s="48">
        <v>7621</v>
      </c>
      <c r="F72" s="48">
        <v>8203</v>
      </c>
      <c r="G72" s="48">
        <v>8574</v>
      </c>
      <c r="H72" s="48">
        <v>8535</v>
      </c>
      <c r="I72" s="48">
        <v>8730</v>
      </c>
      <c r="J72" s="48">
        <v>9163.5295833333294</v>
      </c>
      <c r="K72" s="48">
        <v>9877.9998173333297</v>
      </c>
      <c r="L72" s="48">
        <v>10553.7197273333</v>
      </c>
      <c r="M72" s="48">
        <v>10281.841403333299</v>
      </c>
      <c r="N72" s="196">
        <v>9982.1393413333299</v>
      </c>
      <c r="O72" s="7"/>
      <c r="P72" s="7"/>
    </row>
    <row r="73" spans="1:16" outlineLevel="1" x14ac:dyDescent="0.25">
      <c r="A73" s="19" t="s">
        <v>23</v>
      </c>
      <c r="B73" s="8" t="s">
        <v>14</v>
      </c>
      <c r="C73" s="64">
        <f>C72</f>
        <v>7832</v>
      </c>
      <c r="D73" s="64">
        <f>D72</f>
        <v>8088</v>
      </c>
      <c r="E73" s="48">
        <v>7983</v>
      </c>
      <c r="F73" s="48">
        <v>8301</v>
      </c>
      <c r="G73" s="48">
        <v>8602</v>
      </c>
      <c r="H73" s="48">
        <v>8894</v>
      </c>
      <c r="I73" s="48">
        <v>9133</v>
      </c>
      <c r="J73" s="48">
        <v>9400</v>
      </c>
      <c r="K73" s="48">
        <v>9700</v>
      </c>
      <c r="L73" s="48">
        <v>9700</v>
      </c>
      <c r="M73" s="48">
        <v>9750</v>
      </c>
      <c r="N73" s="196">
        <v>10000</v>
      </c>
      <c r="O73" s="7"/>
      <c r="P73" s="7"/>
    </row>
    <row r="74" spans="1:16" outlineLevel="1" x14ac:dyDescent="0.25">
      <c r="A74" s="182" t="s">
        <v>27</v>
      </c>
      <c r="B74" s="202" t="s">
        <v>94</v>
      </c>
      <c r="C74" s="183">
        <f>C73/C72</f>
        <v>1</v>
      </c>
      <c r="D74" s="183">
        <f t="shared" ref="D74:N74" si="7">D73/D72</f>
        <v>1</v>
      </c>
      <c r="E74" s="183">
        <f t="shared" si="7"/>
        <v>1.0475003280409394</v>
      </c>
      <c r="F74" s="183">
        <f t="shared" si="7"/>
        <v>1.0119468487138852</v>
      </c>
      <c r="G74" s="183">
        <f t="shared" si="7"/>
        <v>1.0032656869605785</v>
      </c>
      <c r="H74" s="183">
        <f t="shared" si="7"/>
        <v>1.0420620972466315</v>
      </c>
      <c r="I74" s="184">
        <f t="shared" si="7"/>
        <v>1.0461626575028637</v>
      </c>
      <c r="J74" s="184">
        <f t="shared" si="7"/>
        <v>1.0258056041087884</v>
      </c>
      <c r="K74" s="184">
        <f t="shared" si="7"/>
        <v>0.98198017608575106</v>
      </c>
      <c r="L74" s="184">
        <f t="shared" si="7"/>
        <v>0.91910722007121015</v>
      </c>
      <c r="M74" s="184">
        <f t="shared" si="7"/>
        <v>0.94827372039011615</v>
      </c>
      <c r="N74" s="197">
        <f t="shared" si="7"/>
        <v>1.0017892616057475</v>
      </c>
      <c r="O74" s="7"/>
      <c r="P74" s="7"/>
    </row>
    <row r="75" spans="1:16" outlineLevel="1" x14ac:dyDescent="0.25">
      <c r="A75" s="20"/>
      <c r="B75" s="186"/>
      <c r="C75" s="249" t="s">
        <v>89</v>
      </c>
      <c r="D75" s="249"/>
      <c r="E75" s="249"/>
      <c r="F75" s="249"/>
      <c r="G75" s="249"/>
      <c r="H75" s="249"/>
      <c r="I75" s="249"/>
      <c r="J75" s="249"/>
      <c r="K75" s="249"/>
      <c r="L75" s="249"/>
      <c r="M75" s="249"/>
      <c r="N75" s="250"/>
      <c r="O75" s="7"/>
      <c r="P75" s="7"/>
    </row>
    <row r="76" spans="1:16" outlineLevel="1" x14ac:dyDescent="0.25">
      <c r="A76" s="128" t="s">
        <v>6</v>
      </c>
      <c r="B76" s="187" t="s">
        <v>1</v>
      </c>
      <c r="C76" s="191"/>
      <c r="D76" s="191"/>
      <c r="E76" s="191"/>
      <c r="F76" s="191"/>
      <c r="G76" s="191"/>
      <c r="H76" s="191"/>
      <c r="I76" s="129">
        <f t="shared" ref="I76:N79" si="8">I6*I$74</f>
        <v>0.61708222261057444</v>
      </c>
      <c r="J76" s="129">
        <f t="shared" si="8"/>
        <v>0.67934746916639355</v>
      </c>
      <c r="K76" s="129">
        <f t="shared" si="8"/>
        <v>0.60988088426705067</v>
      </c>
      <c r="L76" s="129">
        <f t="shared" si="8"/>
        <v>0.58580199462842597</v>
      </c>
      <c r="M76" s="129">
        <f t="shared" si="8"/>
        <v>0.55092111086742912</v>
      </c>
      <c r="N76" s="133">
        <f t="shared" si="8"/>
        <v>0.56166570641244362</v>
      </c>
      <c r="O76" s="7"/>
      <c r="P76" s="7"/>
    </row>
    <row r="77" spans="1:16" outlineLevel="1" x14ac:dyDescent="0.25">
      <c r="A77" s="114"/>
      <c r="B77" s="188" t="s">
        <v>15</v>
      </c>
      <c r="C77" s="127">
        <f>C7*C$74</f>
        <v>0.5236427995978139</v>
      </c>
      <c r="D77" s="192"/>
      <c r="E77" s="192"/>
      <c r="F77" s="192"/>
      <c r="G77" s="192"/>
      <c r="H77" s="192"/>
      <c r="I77" s="127">
        <f t="shared" si="8"/>
        <v>0.58409854358787161</v>
      </c>
      <c r="J77" s="127">
        <f t="shared" si="8"/>
        <v>0.68701746640614758</v>
      </c>
      <c r="K77" s="127">
        <f t="shared" si="8"/>
        <v>0.56278856603092509</v>
      </c>
      <c r="L77" s="127">
        <f t="shared" si="8"/>
        <v>0.53089903858906173</v>
      </c>
      <c r="M77" s="127">
        <f t="shared" si="8"/>
        <v>0.49613832071046815</v>
      </c>
      <c r="N77" s="135">
        <f t="shared" si="8"/>
        <v>0.53380734930352713</v>
      </c>
      <c r="O77" s="7"/>
      <c r="P77" s="7"/>
    </row>
    <row r="78" spans="1:16" outlineLevel="1" x14ac:dyDescent="0.25">
      <c r="A78" s="130"/>
      <c r="B78" s="189" t="s">
        <v>18</v>
      </c>
      <c r="C78" s="193"/>
      <c r="D78" s="193"/>
      <c r="E78" s="193"/>
      <c r="F78" s="193"/>
      <c r="G78" s="193"/>
      <c r="H78" s="193"/>
      <c r="I78" s="131">
        <f t="shared" si="8"/>
        <v>0.65484670751692453</v>
      </c>
      <c r="J78" s="131">
        <f t="shared" si="8"/>
        <v>0.67033946821904633</v>
      </c>
      <c r="K78" s="131">
        <f t="shared" si="8"/>
        <v>0.66860263785089724</v>
      </c>
      <c r="L78" s="131">
        <f t="shared" si="8"/>
        <v>0.65751527164741352</v>
      </c>
      <c r="M78" s="131">
        <f t="shared" si="8"/>
        <v>0.61783348463089705</v>
      </c>
      <c r="N78" s="134">
        <f t="shared" si="8"/>
        <v>0.59213345877232459</v>
      </c>
      <c r="O78" s="7"/>
      <c r="P78" s="7"/>
    </row>
    <row r="79" spans="1:16" outlineLevel="1" x14ac:dyDescent="0.25">
      <c r="A79" s="114" t="s">
        <v>17</v>
      </c>
      <c r="B79" s="188" t="s">
        <v>1</v>
      </c>
      <c r="C79" s="127">
        <f>C9*C$74</f>
        <v>0.23981398100845674</v>
      </c>
      <c r="D79" s="192"/>
      <c r="E79" s="192"/>
      <c r="F79" s="192"/>
      <c r="G79" s="192"/>
      <c r="H79" s="192"/>
      <c r="I79" s="127">
        <f t="shared" si="8"/>
        <v>0.28644546849919128</v>
      </c>
      <c r="J79" s="127">
        <f t="shared" si="8"/>
        <v>0.3268204393924336</v>
      </c>
      <c r="K79" s="127">
        <f t="shared" si="8"/>
        <v>0.33200587935416376</v>
      </c>
      <c r="L79" s="127">
        <f t="shared" si="8"/>
        <v>0.3537561313614847</v>
      </c>
      <c r="M79" s="127">
        <f t="shared" si="8"/>
        <v>0.32316728596494632</v>
      </c>
      <c r="N79" s="135">
        <f t="shared" si="8"/>
        <v>0.29700241663913679</v>
      </c>
      <c r="O79" s="7"/>
      <c r="P79" s="7"/>
    </row>
    <row r="80" spans="1:16" outlineLevel="1" x14ac:dyDescent="0.25">
      <c r="A80" s="65"/>
      <c r="B80" s="190"/>
      <c r="C80" s="181"/>
      <c r="D80" s="180"/>
      <c r="E80" s="180"/>
      <c r="F80" s="180"/>
      <c r="G80" s="180"/>
      <c r="H80" s="180"/>
      <c r="I80" s="181"/>
      <c r="J80" s="181"/>
      <c r="K80" s="181"/>
      <c r="L80" s="181"/>
      <c r="M80" s="181"/>
      <c r="N80" s="198"/>
      <c r="O80" s="7"/>
      <c r="P80" s="7"/>
    </row>
    <row r="81" spans="1:16" outlineLevel="1" x14ac:dyDescent="0.25">
      <c r="A81" s="20" t="s">
        <v>93</v>
      </c>
      <c r="B81" s="7"/>
      <c r="C81" s="7"/>
      <c r="D81" s="7"/>
      <c r="E81" s="7"/>
      <c r="F81" s="7"/>
      <c r="G81" s="7"/>
      <c r="H81" s="7"/>
      <c r="I81" s="7"/>
      <c r="J81" s="7"/>
      <c r="K81" s="7"/>
      <c r="L81" s="7"/>
      <c r="M81" s="7"/>
      <c r="N81" s="18"/>
      <c r="O81" s="7"/>
      <c r="P81" s="7"/>
    </row>
    <row r="82" spans="1:16" outlineLevel="1" x14ac:dyDescent="0.25">
      <c r="A82" s="19"/>
      <c r="B82" s="141" t="s">
        <v>80</v>
      </c>
      <c r="C82" s="7">
        <v>2000</v>
      </c>
      <c r="D82" s="7">
        <v>2001</v>
      </c>
      <c r="E82" s="7">
        <v>2002</v>
      </c>
      <c r="F82" s="7">
        <v>2003</v>
      </c>
      <c r="G82" s="7">
        <v>2004</v>
      </c>
      <c r="H82" s="7">
        <v>2005</v>
      </c>
      <c r="I82" s="7">
        <v>2006</v>
      </c>
      <c r="J82" s="7">
        <v>2007</v>
      </c>
      <c r="K82" s="7">
        <v>2008</v>
      </c>
      <c r="L82" s="7">
        <v>2009</v>
      </c>
      <c r="M82" s="7">
        <v>2010</v>
      </c>
      <c r="N82" s="18">
        <v>2011</v>
      </c>
      <c r="O82" s="7"/>
      <c r="P82" s="7"/>
    </row>
    <row r="83" spans="1:16" outlineLevel="1" x14ac:dyDescent="0.25">
      <c r="A83" s="93" t="s">
        <v>53</v>
      </c>
      <c r="B83" s="8" t="s">
        <v>90</v>
      </c>
      <c r="C83" s="191"/>
      <c r="D83" s="167"/>
      <c r="E83" s="167"/>
      <c r="F83" s="167"/>
      <c r="G83" s="167"/>
      <c r="H83" s="167"/>
      <c r="I83" s="7">
        <v>34.4</v>
      </c>
      <c r="J83" s="7">
        <v>38.6</v>
      </c>
      <c r="K83" s="7">
        <v>36</v>
      </c>
      <c r="L83" s="7">
        <v>42.3</v>
      </c>
      <c r="M83" s="7">
        <v>40.9</v>
      </c>
      <c r="N83" s="18">
        <v>36.6</v>
      </c>
      <c r="O83" s="7"/>
      <c r="P83" s="7"/>
    </row>
    <row r="84" spans="1:16" outlineLevel="1" x14ac:dyDescent="0.25">
      <c r="A84" s="19" t="s">
        <v>91</v>
      </c>
      <c r="B84" s="8"/>
      <c r="C84" s="46">
        <v>0.91</v>
      </c>
      <c r="D84" s="194"/>
      <c r="E84" s="194"/>
      <c r="F84" s="194"/>
      <c r="G84" s="194"/>
      <c r="H84" s="194"/>
      <c r="I84" s="10">
        <v>0.86119062777222921</v>
      </c>
      <c r="J84" s="10">
        <v>0.9086788874371301</v>
      </c>
      <c r="K84" s="10">
        <v>0.87836220273117549</v>
      </c>
      <c r="L84" s="10">
        <v>0.95806576139771527</v>
      </c>
      <c r="M84" s="10">
        <v>0.93840449173531015</v>
      </c>
      <c r="N84" s="199">
        <v>0.88507985698566072</v>
      </c>
      <c r="O84" s="11"/>
      <c r="P84" s="7"/>
    </row>
    <row r="85" spans="1:16" outlineLevel="1" x14ac:dyDescent="0.25">
      <c r="A85" s="20" t="s">
        <v>52</v>
      </c>
      <c r="B85" s="186" t="s">
        <v>99</v>
      </c>
      <c r="C85" s="46"/>
      <c r="D85" s="194"/>
      <c r="E85" s="194"/>
      <c r="F85" s="194"/>
      <c r="G85" s="194"/>
      <c r="H85" s="194"/>
      <c r="I85" s="49">
        <f t="shared" ref="I85:N85" si="9">1/I84</f>
        <v>1.1611830966935275</v>
      </c>
      <c r="J85" s="49">
        <f t="shared" si="9"/>
        <v>1.1004987722565396</v>
      </c>
      <c r="K85" s="49">
        <f t="shared" si="9"/>
        <v>1.1384825040178237</v>
      </c>
      <c r="L85" s="49">
        <f t="shared" si="9"/>
        <v>1.0437696871048885</v>
      </c>
      <c r="M85" s="49">
        <f t="shared" si="9"/>
        <v>1.0656385479898829</v>
      </c>
      <c r="N85" s="200">
        <f t="shared" si="9"/>
        <v>1.1298415528353858</v>
      </c>
      <c r="O85" s="53"/>
      <c r="P85" s="7"/>
    </row>
    <row r="86" spans="1:16" outlineLevel="1" x14ac:dyDescent="0.25">
      <c r="A86" s="19" t="s">
        <v>92</v>
      </c>
      <c r="B86" s="8"/>
      <c r="C86" s="46">
        <f>C79/C84</f>
        <v>0.26353184726204038</v>
      </c>
      <c r="D86" s="194"/>
      <c r="E86" s="194"/>
      <c r="F86" s="194"/>
      <c r="G86" s="194"/>
      <c r="H86" s="194"/>
      <c r="I86" s="46">
        <f t="shared" ref="I86:N86" si="10">I79/I84</f>
        <v>0.33261563614571921</v>
      </c>
      <c r="J86" s="46">
        <f t="shared" si="10"/>
        <v>0.35966549229971601</v>
      </c>
      <c r="K86" s="46">
        <f t="shared" si="10"/>
        <v>0.37798288487576787</v>
      </c>
      <c r="L86" s="46">
        <f t="shared" si="10"/>
        <v>0.36923992654261273</v>
      </c>
      <c r="M86" s="46">
        <f t="shared" si="10"/>
        <v>0.34437951737351669</v>
      </c>
      <c r="N86" s="47">
        <f t="shared" si="10"/>
        <v>0.33556567161142453</v>
      </c>
      <c r="O86" s="7"/>
      <c r="P86" s="7"/>
    </row>
    <row r="87" spans="1:16" outlineLevel="1" x14ac:dyDescent="0.25">
      <c r="A87" s="25"/>
      <c r="B87" s="79"/>
      <c r="C87" s="13"/>
      <c r="D87" s="14"/>
      <c r="E87" s="14"/>
      <c r="F87" s="14"/>
      <c r="G87" s="14"/>
      <c r="H87" s="14"/>
      <c r="I87" s="13"/>
      <c r="J87" s="13"/>
      <c r="K87" s="13"/>
      <c r="L87" s="13"/>
      <c r="M87" s="13"/>
      <c r="N87" s="201"/>
      <c r="O87" s="7"/>
      <c r="P87" s="7"/>
    </row>
    <row r="88" spans="1:16" outlineLevel="1" x14ac:dyDescent="0.25">
      <c r="A88" s="20" t="s">
        <v>95</v>
      </c>
      <c r="B88" s="7"/>
      <c r="C88" s="7"/>
      <c r="D88" s="7"/>
      <c r="E88" s="7"/>
      <c r="F88" s="7"/>
      <c r="G88" s="7"/>
      <c r="H88" s="7"/>
      <c r="I88" s="7"/>
      <c r="J88" s="7"/>
      <c r="K88" s="7"/>
      <c r="L88" s="7"/>
      <c r="M88" s="7"/>
      <c r="N88" s="18"/>
      <c r="O88" s="7"/>
      <c r="P88" s="7"/>
    </row>
    <row r="89" spans="1:16" outlineLevel="1" x14ac:dyDescent="0.25">
      <c r="A89" s="19"/>
      <c r="B89" s="7" t="s">
        <v>28</v>
      </c>
      <c r="C89" s="50">
        <f>C73/I73</f>
        <v>0.8575495456038541</v>
      </c>
      <c r="D89" s="7"/>
      <c r="E89" s="7"/>
      <c r="F89" s="7"/>
      <c r="G89" s="7"/>
      <c r="H89" s="7"/>
      <c r="I89" s="7"/>
      <c r="J89" s="7"/>
      <c r="K89" s="7"/>
      <c r="L89" s="7"/>
      <c r="M89" s="7"/>
      <c r="N89" s="18"/>
      <c r="O89" s="7"/>
      <c r="P89" s="7"/>
    </row>
    <row r="90" spans="1:16" outlineLevel="1" x14ac:dyDescent="0.25">
      <c r="A90" s="7"/>
      <c r="B90" s="7"/>
      <c r="C90" s="50"/>
      <c r="D90" s="7"/>
      <c r="E90" s="7"/>
      <c r="F90" s="7"/>
      <c r="G90" s="7"/>
      <c r="H90" s="7"/>
      <c r="I90" s="7"/>
      <c r="J90" s="7"/>
      <c r="K90" s="7"/>
      <c r="L90" s="7"/>
      <c r="M90" s="7"/>
      <c r="N90" s="18"/>
      <c r="O90" s="7"/>
      <c r="P90" s="7"/>
    </row>
    <row r="91" spans="1:16" outlineLevel="1" x14ac:dyDescent="0.25">
      <c r="B91" s="121" t="s">
        <v>29</v>
      </c>
      <c r="C91" s="121" t="s">
        <v>8</v>
      </c>
      <c r="D91" s="7" t="s">
        <v>97</v>
      </c>
      <c r="E91" s="7"/>
      <c r="F91" s="7"/>
      <c r="G91" s="7"/>
      <c r="H91" s="7"/>
      <c r="I91" s="7"/>
      <c r="J91" s="7"/>
      <c r="K91" s="7"/>
      <c r="L91" s="7"/>
      <c r="M91" s="7"/>
      <c r="N91" s="18"/>
      <c r="O91" s="7"/>
      <c r="P91" s="7"/>
    </row>
    <row r="92" spans="1:16" outlineLevel="1" x14ac:dyDescent="0.25">
      <c r="A92" s="20" t="s">
        <v>100</v>
      </c>
      <c r="B92" s="126" t="s">
        <v>96</v>
      </c>
      <c r="C92" s="62">
        <v>1000</v>
      </c>
      <c r="D92" s="52">
        <f>(I31-C92)/I31</f>
        <v>0.91434689507494649</v>
      </c>
      <c r="E92" s="7"/>
      <c r="F92" s="7"/>
      <c r="G92" s="7"/>
      <c r="H92" s="7"/>
      <c r="I92" s="7"/>
      <c r="J92" s="7"/>
      <c r="K92" s="7"/>
      <c r="L92" s="7"/>
      <c r="M92" s="7"/>
      <c r="N92" s="18"/>
      <c r="O92" s="7"/>
      <c r="P92" s="7"/>
    </row>
    <row r="93" spans="1:16" outlineLevel="1" x14ac:dyDescent="0.25">
      <c r="A93" s="114"/>
      <c r="B93" s="126" t="s">
        <v>11</v>
      </c>
      <c r="C93" s="62">
        <v>2000</v>
      </c>
      <c r="D93" s="10">
        <f>(I33-C93)/I33</f>
        <v>0.97910093387894948</v>
      </c>
      <c r="E93" s="7"/>
      <c r="F93" s="7"/>
      <c r="G93" s="7"/>
      <c r="H93" s="7"/>
      <c r="I93" s="7"/>
      <c r="J93" s="7"/>
      <c r="K93" s="7"/>
      <c r="L93" s="7"/>
      <c r="M93" s="7"/>
      <c r="N93" s="18"/>
      <c r="O93" s="7"/>
      <c r="P93" s="7"/>
    </row>
    <row r="94" spans="1:16" outlineLevel="1" x14ac:dyDescent="0.25">
      <c r="A94" s="19"/>
      <c r="B94" s="7"/>
      <c r="C94" s="7"/>
      <c r="D94" s="7"/>
      <c r="E94" s="7"/>
      <c r="F94" s="7"/>
      <c r="G94" s="7"/>
      <c r="H94" s="7"/>
      <c r="I94" s="7"/>
      <c r="J94" s="7"/>
      <c r="K94" s="7"/>
      <c r="L94" s="7"/>
      <c r="M94" s="7"/>
      <c r="N94" s="18"/>
      <c r="O94" s="7"/>
      <c r="P94" s="7"/>
    </row>
    <row r="95" spans="1:16" outlineLevel="1" x14ac:dyDescent="0.25">
      <c r="A95" s="19"/>
      <c r="B95" s="62" t="s">
        <v>98</v>
      </c>
      <c r="C95" s="62"/>
      <c r="D95" s="7"/>
      <c r="E95" s="7"/>
      <c r="F95" s="7"/>
      <c r="G95" s="7"/>
      <c r="H95" s="7"/>
      <c r="I95" s="7"/>
      <c r="J95" s="7"/>
      <c r="K95" s="7"/>
      <c r="L95" s="7"/>
      <c r="M95" s="7"/>
      <c r="N95" s="18"/>
      <c r="O95" s="7"/>
      <c r="P95" s="7"/>
    </row>
    <row r="96" spans="1:16" outlineLevel="1" x14ac:dyDescent="0.25">
      <c r="A96" s="19"/>
      <c r="B96" s="126" t="s">
        <v>96</v>
      </c>
      <c r="C96" s="127">
        <f>I7*C89/D92</f>
        <v>0.5236427995978139</v>
      </c>
      <c r="D96" s="7"/>
      <c r="E96" s="7"/>
      <c r="F96" s="7"/>
      <c r="G96" s="7"/>
      <c r="H96" s="7"/>
      <c r="I96" s="7"/>
      <c r="J96" s="7"/>
      <c r="K96" s="7"/>
      <c r="L96" s="7"/>
      <c r="M96" s="7"/>
      <c r="N96" s="18"/>
      <c r="O96" s="7"/>
      <c r="P96" s="7"/>
    </row>
    <row r="97" spans="1:16" outlineLevel="1" x14ac:dyDescent="0.25">
      <c r="A97" s="19"/>
      <c r="B97" s="126" t="s">
        <v>11</v>
      </c>
      <c r="C97" s="63">
        <f>I9*C89/D93</f>
        <v>0.23981398100845674</v>
      </c>
      <c r="D97" s="7"/>
      <c r="E97" s="7"/>
      <c r="F97" s="7"/>
      <c r="G97" s="7"/>
      <c r="H97" s="7"/>
      <c r="I97" s="7"/>
      <c r="J97" s="7"/>
      <c r="K97" s="7"/>
      <c r="L97" s="7"/>
      <c r="M97" s="7"/>
      <c r="N97" s="18"/>
      <c r="O97" s="7"/>
      <c r="P97" s="7"/>
    </row>
    <row r="98" spans="1:16" outlineLevel="1" x14ac:dyDescent="0.25">
      <c r="A98" s="25"/>
      <c r="B98" s="14"/>
      <c r="C98" s="14"/>
      <c r="D98" s="14"/>
      <c r="E98" s="14"/>
      <c r="F98" s="14"/>
      <c r="G98" s="14"/>
      <c r="H98" s="14"/>
      <c r="I98" s="14"/>
      <c r="J98" s="14"/>
      <c r="K98" s="14"/>
      <c r="L98" s="14"/>
      <c r="M98" s="14"/>
      <c r="N98" s="26"/>
      <c r="O98" s="7"/>
      <c r="P98" s="7"/>
    </row>
    <row r="99" spans="1:16" outlineLevel="1" x14ac:dyDescent="0.25">
      <c r="A99" s="20" t="s">
        <v>55</v>
      </c>
      <c r="B99" s="7"/>
      <c r="C99" s="7"/>
      <c r="D99" s="7"/>
      <c r="E99" s="7"/>
      <c r="F99" s="7"/>
      <c r="G99" s="7"/>
      <c r="H99" s="7"/>
      <c r="I99" s="7"/>
      <c r="J99" s="7"/>
      <c r="K99" s="7"/>
      <c r="L99" s="7"/>
      <c r="M99" s="7"/>
      <c r="N99" s="18"/>
      <c r="O99" s="7"/>
      <c r="P99" s="7"/>
    </row>
    <row r="100" spans="1:16" outlineLevel="1" x14ac:dyDescent="0.25">
      <c r="A100" s="65" t="s">
        <v>57</v>
      </c>
      <c r="B100" s="66" t="s">
        <v>58</v>
      </c>
      <c r="C100" s="14" t="s">
        <v>37</v>
      </c>
      <c r="D100" s="14" t="s">
        <v>38</v>
      </c>
      <c r="E100" s="7"/>
      <c r="F100" s="7"/>
      <c r="G100" s="7"/>
      <c r="H100" s="7"/>
      <c r="I100" s="7"/>
      <c r="J100" s="7"/>
      <c r="K100" s="7"/>
      <c r="L100" s="7"/>
      <c r="M100" s="7"/>
      <c r="N100" s="18"/>
      <c r="O100" s="7"/>
      <c r="P100" s="7"/>
    </row>
    <row r="101" spans="1:16" outlineLevel="1" x14ac:dyDescent="0.25">
      <c r="A101" s="19" t="s">
        <v>34</v>
      </c>
      <c r="B101" s="46">
        <v>1</v>
      </c>
      <c r="C101" s="7">
        <v>1</v>
      </c>
      <c r="D101" s="7">
        <v>1</v>
      </c>
      <c r="E101" s="7"/>
      <c r="F101" s="7"/>
      <c r="G101" s="7"/>
      <c r="H101" s="7"/>
      <c r="I101" s="7"/>
      <c r="J101" s="7"/>
      <c r="K101" s="7"/>
      <c r="L101" s="7"/>
      <c r="M101" s="7"/>
      <c r="N101" s="18"/>
      <c r="O101" s="7"/>
      <c r="P101" s="7"/>
    </row>
    <row r="102" spans="1:16" outlineLevel="1" x14ac:dyDescent="0.25">
      <c r="A102" s="19" t="s">
        <v>35</v>
      </c>
      <c r="B102" s="46">
        <f>(1-L109/100)</f>
        <v>0.82166666666666666</v>
      </c>
      <c r="C102" s="7">
        <v>1</v>
      </c>
      <c r="D102" s="7">
        <v>1</v>
      </c>
      <c r="E102" s="7"/>
      <c r="F102" s="7"/>
      <c r="G102" s="7"/>
      <c r="H102" s="7"/>
      <c r="I102" s="7"/>
      <c r="J102" s="7"/>
      <c r="K102" s="7"/>
      <c r="L102" s="7"/>
      <c r="M102" s="7"/>
      <c r="N102" s="18"/>
      <c r="O102" s="7"/>
      <c r="P102" s="7"/>
    </row>
    <row r="103" spans="1:16" outlineLevel="1" x14ac:dyDescent="0.25">
      <c r="A103" s="19" t="s">
        <v>36</v>
      </c>
      <c r="B103" s="46">
        <v>1</v>
      </c>
      <c r="C103" s="7"/>
      <c r="D103" s="7">
        <v>1</v>
      </c>
      <c r="E103" s="7"/>
      <c r="F103" s="7"/>
      <c r="G103" s="7"/>
      <c r="H103" s="7"/>
      <c r="I103" s="7"/>
      <c r="J103" s="7"/>
      <c r="K103" s="7"/>
      <c r="L103" s="7"/>
      <c r="M103" s="7"/>
      <c r="N103" s="18"/>
      <c r="O103" s="7"/>
      <c r="P103" s="7"/>
    </row>
    <row r="104" spans="1:16" ht="16.5" outlineLevel="1" thickBot="1" x14ac:dyDescent="0.3">
      <c r="A104" s="203" t="s">
        <v>59</v>
      </c>
      <c r="B104" s="204"/>
      <c r="C104" s="67">
        <f>IF(C101=1,B101,1)*IF(C102=1,B102,1)</f>
        <v>0.82166666666666666</v>
      </c>
      <c r="D104" s="67">
        <f>IF(D101=1,B101,1)*IF(D102=1,B102,1)*IF(D103=1,B103,1)</f>
        <v>0.82166666666666666</v>
      </c>
      <c r="E104" s="7"/>
      <c r="F104" s="7"/>
      <c r="G104" s="7"/>
      <c r="H104" s="7"/>
      <c r="I104" s="7"/>
      <c r="J104" s="7"/>
      <c r="K104" s="7"/>
      <c r="L104" s="7"/>
      <c r="M104" s="7"/>
      <c r="N104" s="18"/>
      <c r="O104" s="7"/>
      <c r="P104" s="7"/>
    </row>
    <row r="105" spans="1:16" ht="16.5" outlineLevel="1" thickTop="1" x14ac:dyDescent="0.25">
      <c r="A105" s="20"/>
      <c r="B105" s="21"/>
      <c r="C105" s="49"/>
      <c r="D105" s="49"/>
      <c r="E105" s="7"/>
      <c r="F105" s="7"/>
      <c r="G105" s="7"/>
      <c r="H105" s="7"/>
      <c r="I105" s="7"/>
      <c r="J105" s="7"/>
      <c r="K105" s="7"/>
      <c r="L105" s="7"/>
      <c r="M105" s="7"/>
      <c r="N105" s="18"/>
      <c r="O105" s="7"/>
      <c r="P105" s="7"/>
    </row>
    <row r="106" spans="1:16" outlineLevel="1" x14ac:dyDescent="0.25">
      <c r="A106" s="20"/>
      <c r="B106" s="7"/>
      <c r="C106" s="7"/>
      <c r="D106" s="7"/>
      <c r="E106" s="7"/>
      <c r="F106" s="7"/>
      <c r="G106" s="7"/>
      <c r="H106" s="7"/>
      <c r="I106" s="7"/>
      <c r="J106" s="7"/>
      <c r="K106" s="7"/>
      <c r="L106" s="7"/>
      <c r="M106" s="7"/>
      <c r="N106" s="18"/>
      <c r="O106" s="7"/>
      <c r="P106" s="7"/>
    </row>
    <row r="107" spans="1:16" outlineLevel="1" x14ac:dyDescent="0.25">
      <c r="A107" s="20" t="s">
        <v>111</v>
      </c>
      <c r="B107" s="7"/>
      <c r="D107" s="125"/>
      <c r="E107" s="244" t="s">
        <v>49</v>
      </c>
      <c r="F107" s="244"/>
      <c r="G107" s="244"/>
      <c r="H107" s="244"/>
      <c r="I107" s="244"/>
      <c r="J107" s="244"/>
      <c r="K107" s="244"/>
      <c r="L107" s="7"/>
      <c r="M107" s="7"/>
      <c r="N107" s="18"/>
      <c r="O107" s="7"/>
      <c r="P107" s="7"/>
    </row>
    <row r="108" spans="1:16" outlineLevel="1" x14ac:dyDescent="0.25">
      <c r="A108" s="57"/>
      <c r="B108" s="7"/>
      <c r="C108" s="7"/>
      <c r="D108" s="121" t="s">
        <v>107</v>
      </c>
      <c r="E108" s="7">
        <v>1999</v>
      </c>
      <c r="F108" s="7" t="s">
        <v>20</v>
      </c>
      <c r="G108" s="7" t="s">
        <v>24</v>
      </c>
      <c r="H108" s="7" t="s">
        <v>25</v>
      </c>
      <c r="I108" s="7" t="s">
        <v>26</v>
      </c>
      <c r="J108" s="7" t="s">
        <v>10</v>
      </c>
      <c r="K108" s="7" t="s">
        <v>21</v>
      </c>
      <c r="L108" s="7" t="s">
        <v>7</v>
      </c>
      <c r="M108" s="7"/>
      <c r="N108" s="18"/>
      <c r="O108" s="7"/>
      <c r="P108" s="7"/>
    </row>
    <row r="109" spans="1:16" outlineLevel="1" x14ac:dyDescent="0.25">
      <c r="A109" s="20"/>
      <c r="B109" s="7"/>
      <c r="C109" s="7"/>
      <c r="D109" s="121" t="s">
        <v>104</v>
      </c>
      <c r="E109" s="7">
        <v>13</v>
      </c>
      <c r="F109" s="7">
        <v>13</v>
      </c>
      <c r="G109" s="7">
        <v>12</v>
      </c>
      <c r="H109" s="7">
        <v>17.5</v>
      </c>
      <c r="I109" s="7">
        <v>22</v>
      </c>
      <c r="J109">
        <f>(I109+K109)/2</f>
        <v>21.5</v>
      </c>
      <c r="K109" s="7">
        <v>21</v>
      </c>
      <c r="L109" s="9">
        <f>AVERAGE(F109:K109)</f>
        <v>17.833333333333332</v>
      </c>
      <c r="M109" s="7"/>
      <c r="N109" s="18"/>
      <c r="O109" s="7"/>
      <c r="P109" s="7"/>
    </row>
    <row r="110" spans="1:16" outlineLevel="1" x14ac:dyDescent="0.25">
      <c r="A110" s="20"/>
      <c r="B110" s="7"/>
      <c r="C110" s="7"/>
      <c r="D110" s="121"/>
      <c r="E110" s="7"/>
      <c r="F110" s="7"/>
      <c r="G110" s="7"/>
      <c r="H110" s="7"/>
      <c r="I110" s="7"/>
      <c r="K110" s="7"/>
      <c r="L110" s="9"/>
      <c r="M110" s="7"/>
      <c r="N110" s="18"/>
      <c r="O110" s="7"/>
      <c r="P110" s="7"/>
    </row>
    <row r="111" spans="1:16" outlineLevel="1" x14ac:dyDescent="0.25">
      <c r="A111" s="20" t="s">
        <v>102</v>
      </c>
      <c r="B111" s="21"/>
      <c r="C111" s="49"/>
      <c r="D111" s="49"/>
      <c r="E111" s="7"/>
      <c r="F111" s="7"/>
      <c r="G111" s="7"/>
      <c r="H111" s="7"/>
      <c r="I111" s="7"/>
      <c r="J111" s="7"/>
      <c r="K111" s="7"/>
      <c r="L111" s="7"/>
      <c r="M111" s="7"/>
      <c r="N111" s="18"/>
      <c r="O111" s="7"/>
      <c r="P111" s="7"/>
    </row>
    <row r="112" spans="1:16" outlineLevel="1" x14ac:dyDescent="0.25">
      <c r="A112" s="19"/>
      <c r="B112" s="126" t="s">
        <v>108</v>
      </c>
      <c r="C112" s="7">
        <v>2000</v>
      </c>
      <c r="D112" s="7">
        <v>2001</v>
      </c>
      <c r="E112" s="7">
        <v>2002</v>
      </c>
      <c r="F112" s="7">
        <v>2003</v>
      </c>
      <c r="G112" s="7">
        <v>2004</v>
      </c>
      <c r="H112" s="7">
        <v>2005</v>
      </c>
      <c r="I112" s="7">
        <v>2006</v>
      </c>
      <c r="J112" s="7">
        <v>2007</v>
      </c>
      <c r="K112" s="7">
        <v>2008</v>
      </c>
      <c r="L112" s="7">
        <v>2009</v>
      </c>
      <c r="M112" s="7">
        <v>2010</v>
      </c>
      <c r="N112" s="18">
        <v>2011</v>
      </c>
      <c r="O112" s="7"/>
      <c r="P112" s="7"/>
    </row>
    <row r="113" spans="1:16" outlineLevel="1" x14ac:dyDescent="0.25">
      <c r="A113" s="19"/>
      <c r="B113" s="121" t="s">
        <v>9</v>
      </c>
      <c r="C113" s="7">
        <v>0</v>
      </c>
      <c r="D113" s="7">
        <v>8088</v>
      </c>
      <c r="E113" s="7">
        <v>7618</v>
      </c>
      <c r="F113" s="7">
        <v>8202</v>
      </c>
      <c r="G113" s="7">
        <v>8572</v>
      </c>
      <c r="H113" s="7">
        <v>8566</v>
      </c>
      <c r="I113" s="7">
        <v>8788</v>
      </c>
      <c r="J113" s="7">
        <v>9134</v>
      </c>
      <c r="K113" s="7">
        <v>9878</v>
      </c>
      <c r="L113" s="7">
        <v>10505</v>
      </c>
      <c r="M113" s="7">
        <v>10188</v>
      </c>
      <c r="N113" s="18">
        <v>9481</v>
      </c>
    </row>
    <row r="114" spans="1:16" outlineLevel="1" x14ac:dyDescent="0.25">
      <c r="A114" s="19"/>
      <c r="B114" s="121" t="s">
        <v>101</v>
      </c>
      <c r="C114" s="167"/>
      <c r="D114" s="167"/>
      <c r="E114" s="167"/>
      <c r="F114" s="167"/>
      <c r="G114" s="7">
        <v>6553</v>
      </c>
      <c r="H114" s="7">
        <v>6553</v>
      </c>
      <c r="I114" s="7">
        <v>6553</v>
      </c>
      <c r="J114" s="7">
        <v>6553</v>
      </c>
      <c r="K114" s="7">
        <v>6553</v>
      </c>
      <c r="L114" s="7">
        <v>6553</v>
      </c>
      <c r="M114" s="167"/>
      <c r="N114" s="208"/>
    </row>
    <row r="115" spans="1:16" outlineLevel="1" x14ac:dyDescent="0.25">
      <c r="A115" s="19"/>
      <c r="B115" s="121" t="s">
        <v>105</v>
      </c>
      <c r="C115" s="167"/>
      <c r="D115" s="167"/>
      <c r="E115" s="167"/>
      <c r="F115" s="167"/>
      <c r="G115" s="16">
        <f t="shared" ref="G115:L115" si="11">G113/G114</f>
        <v>1.3081031588585381</v>
      </c>
      <c r="H115" s="16">
        <f t="shared" si="11"/>
        <v>1.3071875476880819</v>
      </c>
      <c r="I115" s="16">
        <f t="shared" si="11"/>
        <v>1.3410651609949642</v>
      </c>
      <c r="J115" s="16">
        <f t="shared" si="11"/>
        <v>1.3938654051579429</v>
      </c>
      <c r="K115" s="16">
        <f t="shared" si="11"/>
        <v>1.5074011902945217</v>
      </c>
      <c r="L115" s="16">
        <f t="shared" si="11"/>
        <v>1.6030825576072028</v>
      </c>
      <c r="M115" s="167"/>
      <c r="N115" s="208"/>
    </row>
    <row r="116" spans="1:16" outlineLevel="1" x14ac:dyDescent="0.25">
      <c r="A116" s="19"/>
      <c r="B116" s="7"/>
      <c r="C116" s="7"/>
      <c r="D116" s="7"/>
      <c r="E116" s="7"/>
      <c r="F116" s="7"/>
      <c r="G116" s="7"/>
      <c r="H116" s="7"/>
      <c r="I116" s="7"/>
      <c r="J116" s="7"/>
      <c r="K116" s="7"/>
      <c r="L116" s="7"/>
      <c r="M116" s="7"/>
      <c r="N116" s="18"/>
    </row>
    <row r="117" spans="1:16" outlineLevel="1" x14ac:dyDescent="0.25">
      <c r="A117" s="19" t="s">
        <v>109</v>
      </c>
      <c r="B117" s="7"/>
      <c r="C117" s="7"/>
      <c r="D117" s="16">
        <f>SUM(H113:L113)/SUM(H114:L114)</f>
        <v>1.4305203723485427</v>
      </c>
      <c r="E117" s="7" t="s">
        <v>106</v>
      </c>
      <c r="F117" s="7"/>
      <c r="G117" s="7"/>
      <c r="H117" s="7"/>
      <c r="I117" s="7"/>
      <c r="J117" s="7"/>
      <c r="K117" s="7"/>
      <c r="L117" s="7"/>
      <c r="M117" s="7"/>
      <c r="N117" s="18"/>
    </row>
    <row r="118" spans="1:16" ht="16.5" outlineLevel="1" thickBot="1" x14ac:dyDescent="0.3">
      <c r="A118" s="22"/>
      <c r="B118" s="23"/>
      <c r="C118" s="23"/>
      <c r="D118" s="23"/>
      <c r="E118" s="23"/>
      <c r="F118" s="23"/>
      <c r="G118" s="23"/>
      <c r="H118" s="23"/>
      <c r="I118" s="23"/>
      <c r="J118" s="23"/>
      <c r="K118" s="23"/>
      <c r="L118" s="23"/>
      <c r="M118" s="23"/>
      <c r="N118" s="24"/>
      <c r="O118" s="7"/>
      <c r="P118" s="7"/>
    </row>
    <row r="119" spans="1:16" x14ac:dyDescent="0.25">
      <c r="A119" s="19"/>
      <c r="O119" s="7"/>
      <c r="P119" s="7"/>
    </row>
    <row r="120" spans="1:16" x14ac:dyDescent="0.25">
      <c r="A120" s="19"/>
      <c r="B120" s="7"/>
      <c r="C120" s="7"/>
      <c r="D120" s="7"/>
      <c r="E120" s="7"/>
      <c r="F120" s="7"/>
      <c r="G120" s="7"/>
      <c r="H120" s="7"/>
      <c r="I120" s="7"/>
      <c r="J120" s="7"/>
      <c r="K120" s="7"/>
      <c r="L120" s="7"/>
      <c r="M120" s="7"/>
      <c r="N120" s="7"/>
      <c r="O120" s="7"/>
      <c r="P120" s="7"/>
    </row>
    <row r="121" spans="1:16" x14ac:dyDescent="0.25">
      <c r="A121" s="19"/>
      <c r="B121" s="61"/>
      <c r="C121" s="7"/>
      <c r="D121" s="7"/>
      <c r="E121" s="7"/>
      <c r="F121" s="7"/>
      <c r="G121" s="7"/>
      <c r="H121" s="7"/>
      <c r="I121" s="7"/>
      <c r="J121" s="7"/>
      <c r="K121" s="7"/>
      <c r="L121" s="7"/>
      <c r="M121" s="7"/>
      <c r="N121" s="7"/>
      <c r="O121" s="7"/>
      <c r="P121" s="7"/>
    </row>
    <row r="122" spans="1:16" x14ac:dyDescent="0.25">
      <c r="A122" s="19"/>
      <c r="O122" s="7"/>
      <c r="P122" s="7"/>
    </row>
    <row r="123" spans="1:16" x14ac:dyDescent="0.25">
      <c r="A123" s="19"/>
      <c r="O123" s="7"/>
      <c r="P123" s="7"/>
    </row>
    <row r="124" spans="1:16" x14ac:dyDescent="0.25">
      <c r="A124" s="19"/>
      <c r="O124" s="7"/>
      <c r="P124" s="7"/>
    </row>
    <row r="125" spans="1:16" x14ac:dyDescent="0.25">
      <c r="A125" s="19"/>
      <c r="O125" s="7"/>
      <c r="P125" s="7"/>
    </row>
    <row r="126" spans="1:16" x14ac:dyDescent="0.25">
      <c r="A126" s="19"/>
      <c r="B126" s="7"/>
      <c r="C126" s="7"/>
      <c r="D126" s="7"/>
      <c r="E126" s="7"/>
      <c r="F126" s="7"/>
      <c r="G126" s="7"/>
      <c r="H126" s="7"/>
      <c r="I126" s="7"/>
      <c r="J126" s="7"/>
      <c r="K126" s="7"/>
      <c r="L126" s="7"/>
      <c r="M126" s="7"/>
      <c r="N126" s="7"/>
      <c r="O126" s="7"/>
      <c r="P126" s="7"/>
    </row>
    <row r="127" spans="1:16" x14ac:dyDescent="0.25">
      <c r="A127" s="19"/>
      <c r="B127" s="7"/>
      <c r="C127" s="7"/>
      <c r="D127" s="7"/>
      <c r="E127" s="7"/>
      <c r="F127" s="7"/>
      <c r="G127" s="7"/>
      <c r="H127" s="7"/>
      <c r="I127" s="7"/>
      <c r="J127" s="7"/>
      <c r="K127" s="7"/>
      <c r="L127" s="7"/>
      <c r="M127" s="7"/>
      <c r="N127" s="7"/>
      <c r="O127" s="7"/>
      <c r="P127" s="7"/>
    </row>
    <row r="128" spans="1:16" x14ac:dyDescent="0.25">
      <c r="A128" s="19"/>
      <c r="B128" s="7"/>
      <c r="C128" s="46"/>
      <c r="D128" s="46"/>
      <c r="E128" s="46"/>
      <c r="F128" s="46"/>
      <c r="G128" s="46"/>
      <c r="H128" s="46"/>
      <c r="I128" s="46"/>
      <c r="J128" s="46"/>
      <c r="K128" s="46"/>
      <c r="L128" s="46"/>
      <c r="M128" s="46"/>
      <c r="N128" s="46"/>
      <c r="O128" s="7"/>
      <c r="P128" s="7"/>
    </row>
    <row r="129" spans="1:16" x14ac:dyDescent="0.25">
      <c r="A129" s="19"/>
      <c r="B129" s="7"/>
      <c r="C129" s="7"/>
      <c r="D129" s="7"/>
      <c r="E129" s="7"/>
      <c r="F129" s="7"/>
      <c r="G129" s="7"/>
      <c r="H129" s="7"/>
      <c r="I129" s="7"/>
      <c r="J129" s="7"/>
      <c r="K129" s="7"/>
      <c r="L129" s="7"/>
      <c r="M129" s="7"/>
      <c r="N129" s="7"/>
      <c r="O129" s="7"/>
      <c r="P129" s="7"/>
    </row>
    <row r="130" spans="1:16" x14ac:dyDescent="0.25">
      <c r="A130" s="20"/>
      <c r="B130" s="21"/>
      <c r="C130" s="21"/>
      <c r="D130" s="21"/>
      <c r="E130" s="21"/>
      <c r="F130" s="21"/>
      <c r="G130" s="21"/>
      <c r="H130" s="21"/>
      <c r="O130" s="7"/>
      <c r="P130" s="7"/>
    </row>
    <row r="131" spans="1:16" x14ac:dyDescent="0.25">
      <c r="A131" s="19"/>
      <c r="B131" s="7"/>
      <c r="C131" s="7"/>
      <c r="D131" s="7"/>
      <c r="E131" s="7"/>
      <c r="F131" s="7"/>
      <c r="G131" s="7"/>
      <c r="H131" s="7"/>
      <c r="I131" s="7"/>
      <c r="J131" s="7"/>
      <c r="K131" s="7"/>
      <c r="L131" s="7"/>
      <c r="M131" s="7"/>
      <c r="N131" s="7"/>
      <c r="O131" s="7"/>
      <c r="P131" s="7"/>
    </row>
    <row r="132" spans="1:16" x14ac:dyDescent="0.25">
      <c r="A132" s="19"/>
      <c r="B132" s="7"/>
      <c r="C132" s="7"/>
      <c r="D132" s="7"/>
      <c r="E132" s="7"/>
      <c r="F132" s="7"/>
      <c r="G132" s="7"/>
      <c r="H132" s="7"/>
      <c r="I132" s="7"/>
      <c r="J132" s="7"/>
      <c r="K132" s="7"/>
      <c r="L132" s="7"/>
      <c r="M132" s="7"/>
      <c r="N132" s="7"/>
      <c r="O132" s="7"/>
      <c r="P132" s="7"/>
    </row>
    <row r="133" spans="1:16" x14ac:dyDescent="0.25">
      <c r="A133" s="19"/>
      <c r="B133" s="7"/>
      <c r="C133" s="7"/>
      <c r="D133" s="7"/>
      <c r="E133" s="7"/>
      <c r="F133" s="7"/>
      <c r="G133" s="7"/>
      <c r="H133" s="7"/>
      <c r="I133" s="7"/>
      <c r="J133" s="7"/>
      <c r="K133" s="7"/>
      <c r="L133" s="7"/>
      <c r="M133" s="7"/>
      <c r="N133" s="7"/>
      <c r="O133" s="7"/>
      <c r="P133" s="7"/>
    </row>
    <row r="134" spans="1:16" x14ac:dyDescent="0.25">
      <c r="A134" s="19"/>
      <c r="B134" s="7"/>
      <c r="C134" s="7"/>
      <c r="D134" s="7"/>
      <c r="E134" s="7"/>
      <c r="F134" s="7"/>
      <c r="G134" s="7"/>
      <c r="H134" s="7"/>
      <c r="I134" s="7"/>
      <c r="J134" s="7"/>
      <c r="K134" s="7"/>
      <c r="L134" s="7"/>
      <c r="M134" s="7"/>
      <c r="N134" s="7"/>
      <c r="O134" s="7"/>
      <c r="P134" s="7"/>
    </row>
    <row r="135" spans="1:16" x14ac:dyDescent="0.25">
      <c r="A135" s="19"/>
      <c r="B135" s="7"/>
      <c r="C135" s="7"/>
      <c r="D135" s="7"/>
      <c r="E135" s="7"/>
      <c r="F135" s="7"/>
      <c r="G135" s="7"/>
      <c r="H135" s="7"/>
      <c r="I135" s="7"/>
      <c r="J135" s="7"/>
      <c r="K135" s="7"/>
      <c r="L135" s="7"/>
      <c r="M135" s="7"/>
      <c r="N135" s="7"/>
      <c r="O135" s="7"/>
      <c r="P135" s="7"/>
    </row>
    <row r="136" spans="1:16" x14ac:dyDescent="0.25">
      <c r="A136" s="19"/>
      <c r="B136" s="7"/>
      <c r="C136" s="7"/>
      <c r="D136" s="7"/>
      <c r="E136" s="7"/>
      <c r="F136" s="7"/>
      <c r="G136" s="7"/>
      <c r="H136" s="7"/>
      <c r="I136" s="7"/>
      <c r="J136" s="7"/>
      <c r="K136" s="7"/>
      <c r="L136" s="7"/>
      <c r="M136" s="7"/>
      <c r="N136" s="7"/>
      <c r="O136" s="7"/>
      <c r="P136" s="7"/>
    </row>
    <row r="137" spans="1:16" x14ac:dyDescent="0.25">
      <c r="A137" s="19"/>
      <c r="B137" s="7"/>
      <c r="C137" s="7"/>
      <c r="D137" s="7"/>
      <c r="E137" s="7"/>
      <c r="F137" s="7"/>
      <c r="G137" s="7"/>
      <c r="H137" s="7"/>
      <c r="I137" s="7"/>
      <c r="J137" s="7"/>
      <c r="K137" s="7"/>
      <c r="L137" s="7"/>
      <c r="M137" s="7"/>
      <c r="N137" s="7"/>
      <c r="O137" s="7"/>
      <c r="P137" s="7"/>
    </row>
    <row r="138" spans="1:16" x14ac:dyDescent="0.25">
      <c r="A138" s="19"/>
      <c r="B138" s="7"/>
      <c r="C138" s="7"/>
      <c r="D138" s="7"/>
      <c r="E138" s="7"/>
      <c r="F138" s="7"/>
      <c r="G138" s="7"/>
      <c r="H138" s="7"/>
      <c r="I138" s="7"/>
      <c r="J138" s="7"/>
      <c r="K138" s="7"/>
      <c r="L138" s="7"/>
      <c r="M138" s="7"/>
      <c r="N138" s="7"/>
      <c r="O138" s="7"/>
      <c r="P138" s="7"/>
    </row>
    <row r="139" spans="1:16" x14ac:dyDescent="0.25">
      <c r="A139" s="19"/>
      <c r="B139" s="7"/>
      <c r="C139" s="7"/>
      <c r="D139" s="7"/>
      <c r="E139" s="7"/>
      <c r="F139" s="7"/>
      <c r="G139" s="7"/>
      <c r="H139" s="7"/>
      <c r="I139" s="7"/>
      <c r="J139" s="7"/>
      <c r="K139" s="7"/>
      <c r="L139" s="7"/>
      <c r="M139" s="7"/>
      <c r="N139" s="7"/>
      <c r="O139" s="7"/>
      <c r="P139" s="7"/>
    </row>
    <row r="140" spans="1:16" x14ac:dyDescent="0.25">
      <c r="A140" s="19"/>
      <c r="B140" s="7"/>
      <c r="C140" s="7"/>
      <c r="D140" s="7"/>
      <c r="E140" s="7"/>
      <c r="F140" s="7"/>
      <c r="G140" s="7"/>
      <c r="H140" s="7"/>
      <c r="I140" s="7"/>
      <c r="J140" s="7"/>
      <c r="K140" s="7"/>
      <c r="L140" s="7"/>
      <c r="M140" s="7"/>
      <c r="N140" s="7"/>
      <c r="O140" s="7"/>
      <c r="P140" s="7"/>
    </row>
    <row r="141" spans="1:16" x14ac:dyDescent="0.25">
      <c r="O141" s="7"/>
      <c r="P141" s="7"/>
    </row>
    <row r="142" spans="1:16" x14ac:dyDescent="0.25">
      <c r="O142" s="7"/>
      <c r="P142" s="7"/>
    </row>
    <row r="143" spans="1:16" x14ac:dyDescent="0.25">
      <c r="O143" s="7"/>
      <c r="P143" s="7"/>
    </row>
    <row r="144" spans="1:16" x14ac:dyDescent="0.25">
      <c r="A144" s="19"/>
      <c r="B144" s="7"/>
      <c r="C144" s="7"/>
      <c r="D144" s="7"/>
      <c r="E144" s="7"/>
      <c r="F144" s="7"/>
      <c r="G144" s="7"/>
      <c r="H144" s="7"/>
      <c r="I144" s="7"/>
      <c r="J144" s="7"/>
      <c r="K144" s="7"/>
      <c r="L144" s="7"/>
      <c r="M144" s="7"/>
      <c r="N144" s="7"/>
      <c r="O144" s="7"/>
      <c r="P144" s="7"/>
    </row>
    <row r="145" spans="1:16" x14ac:dyDescent="0.25">
      <c r="E145" s="7"/>
      <c r="F145" s="7"/>
      <c r="G145" s="7"/>
      <c r="H145" s="7"/>
      <c r="I145" s="7"/>
      <c r="J145" s="7"/>
      <c r="K145" s="7"/>
      <c r="L145" s="7"/>
      <c r="M145" s="7"/>
      <c r="N145" s="7"/>
      <c r="O145" s="7"/>
      <c r="P145" s="7"/>
    </row>
    <row r="146" spans="1:16" x14ac:dyDescent="0.25">
      <c r="E146" s="7"/>
      <c r="F146" s="7"/>
      <c r="G146" s="7"/>
      <c r="H146" s="7"/>
      <c r="I146" s="7"/>
      <c r="J146" s="7"/>
      <c r="K146" s="7"/>
      <c r="L146" s="7"/>
      <c r="M146" s="7"/>
      <c r="N146" s="7"/>
      <c r="O146" s="7"/>
      <c r="P146" s="7"/>
    </row>
    <row r="147" spans="1:16" x14ac:dyDescent="0.25">
      <c r="E147" s="7"/>
      <c r="F147" s="7"/>
      <c r="G147" s="7"/>
      <c r="H147" s="7"/>
      <c r="I147" s="7"/>
      <c r="J147" s="7"/>
      <c r="K147" s="7"/>
      <c r="L147" s="7"/>
      <c r="M147" s="7"/>
      <c r="N147" s="7"/>
      <c r="O147" s="7"/>
      <c r="P147" s="7"/>
    </row>
    <row r="148" spans="1:16" x14ac:dyDescent="0.25">
      <c r="E148" s="7"/>
      <c r="F148" s="7"/>
      <c r="G148" s="7"/>
      <c r="H148" s="7"/>
      <c r="I148" s="7"/>
      <c r="J148" s="7"/>
      <c r="K148" s="7"/>
      <c r="L148" s="7"/>
      <c r="M148" s="7"/>
      <c r="N148" s="7"/>
      <c r="O148" s="7"/>
      <c r="P148" s="7"/>
    </row>
    <row r="149" spans="1:16" x14ac:dyDescent="0.25">
      <c r="E149" s="7"/>
      <c r="F149" s="7"/>
      <c r="G149" s="7"/>
      <c r="H149" s="7"/>
      <c r="I149" s="7"/>
      <c r="J149" s="7"/>
      <c r="K149" s="7"/>
      <c r="L149" s="7"/>
      <c r="M149" s="7"/>
      <c r="N149" s="7"/>
      <c r="O149" s="7"/>
      <c r="P149" s="7"/>
    </row>
    <row r="150" spans="1:16" x14ac:dyDescent="0.25">
      <c r="E150" s="7"/>
      <c r="F150" s="7"/>
      <c r="G150" s="7"/>
      <c r="H150" s="7"/>
      <c r="I150" s="7"/>
      <c r="J150" s="7"/>
      <c r="K150" s="7"/>
      <c r="L150" s="7"/>
      <c r="M150" s="7"/>
      <c r="N150" s="7"/>
      <c r="O150" s="7"/>
      <c r="P150" s="7"/>
    </row>
    <row r="151" spans="1:16" x14ac:dyDescent="0.25">
      <c r="A151" s="19"/>
      <c r="B151" s="7"/>
      <c r="C151" s="7"/>
      <c r="D151" s="7"/>
      <c r="E151" s="7"/>
      <c r="F151" s="7"/>
      <c r="G151" s="7"/>
      <c r="H151" s="7"/>
      <c r="I151" s="7"/>
      <c r="J151" s="7"/>
      <c r="K151" s="7"/>
      <c r="L151" s="7"/>
      <c r="M151" s="7"/>
      <c r="N151" s="7"/>
      <c r="O151" s="7"/>
      <c r="P151" s="7"/>
    </row>
    <row r="152" spans="1:16" x14ac:dyDescent="0.25">
      <c r="O152" s="7"/>
      <c r="P152" s="7"/>
    </row>
    <row r="153" spans="1:16" x14ac:dyDescent="0.25">
      <c r="O153" s="7"/>
      <c r="P153" s="7"/>
    </row>
    <row r="154" spans="1:16" x14ac:dyDescent="0.25">
      <c r="O154" s="7"/>
      <c r="P154" s="7"/>
    </row>
    <row r="155" spans="1:16" x14ac:dyDescent="0.25">
      <c r="O155" s="7"/>
      <c r="P155" s="7"/>
    </row>
    <row r="156" spans="1:16" x14ac:dyDescent="0.25">
      <c r="O156" s="7"/>
      <c r="P156" s="7"/>
    </row>
    <row r="157" spans="1:16" x14ac:dyDescent="0.25">
      <c r="O157" s="7"/>
      <c r="P157" s="7"/>
    </row>
    <row r="158" spans="1:16" x14ac:dyDescent="0.25">
      <c r="O158" s="7"/>
      <c r="P158" s="7"/>
    </row>
    <row r="159" spans="1:16" x14ac:dyDescent="0.25">
      <c r="O159" s="7"/>
      <c r="P159" s="7"/>
    </row>
  </sheetData>
  <mergeCells count="12">
    <mergeCell ref="E107:K107"/>
    <mergeCell ref="C59:N59"/>
    <mergeCell ref="C60:N60"/>
    <mergeCell ref="C64:N64"/>
    <mergeCell ref="O8:P8"/>
    <mergeCell ref="C75:N75"/>
    <mergeCell ref="C50:N50"/>
    <mergeCell ref="C5:N5"/>
    <mergeCell ref="C17:N17"/>
    <mergeCell ref="C4:N4"/>
    <mergeCell ref="C29:N29"/>
    <mergeCell ref="C41:N41"/>
  </mergeCells>
  <pageMargins left="0.23622047244094491" right="0.23622047244094491" top="0.74803149606299213" bottom="0.74803149606299213" header="0.31496062992125984" footer="0.31496062992125984"/>
  <pageSetup paperSize="9" scale="60" fitToHeight="3" orientation="landscape"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theme="3" tint="0.59999389629810485"/>
  </sheetPr>
  <dimension ref="A1:V118"/>
  <sheetViews>
    <sheetView zoomScale="80" zoomScaleNormal="80" workbookViewId="0">
      <selection activeCell="C7" sqref="C7"/>
    </sheetView>
  </sheetViews>
  <sheetFormatPr defaultColWidth="11" defaultRowHeight="15.75" outlineLevelRow="1" x14ac:dyDescent="0.25"/>
  <cols>
    <col min="1" max="1" width="16.875" customWidth="1"/>
    <col min="2" max="2" width="26" customWidth="1"/>
    <col min="9" max="9" width="11" customWidth="1"/>
  </cols>
  <sheetData>
    <row r="1" spans="1:16" ht="24" thickBot="1" x14ac:dyDescent="0.4">
      <c r="A1" s="205" t="s">
        <v>4</v>
      </c>
      <c r="B1" s="206" t="s">
        <v>103</v>
      </c>
      <c r="C1" s="59"/>
      <c r="D1" s="59"/>
      <c r="E1" s="59"/>
      <c r="F1" s="59"/>
      <c r="G1" s="59"/>
      <c r="H1" s="59"/>
      <c r="I1" s="59"/>
      <c r="J1" s="59"/>
      <c r="K1" s="59"/>
      <c r="L1" s="59"/>
      <c r="M1" s="59"/>
      <c r="N1" s="59"/>
      <c r="O1" s="59"/>
      <c r="P1" s="124"/>
    </row>
    <row r="2" spans="1:16" ht="24" thickBot="1" x14ac:dyDescent="0.4">
      <c r="A2" s="54" t="s">
        <v>50</v>
      </c>
      <c r="B2" s="55"/>
      <c r="C2" s="55"/>
      <c r="D2" s="55"/>
      <c r="E2" s="55"/>
      <c r="F2" s="55"/>
      <c r="G2" s="55"/>
      <c r="H2" s="55"/>
      <c r="I2" s="55"/>
      <c r="J2" s="55"/>
      <c r="K2" s="55"/>
      <c r="L2" s="55"/>
      <c r="M2" s="55"/>
      <c r="N2" s="56"/>
      <c r="O2" s="15"/>
      <c r="P2" s="15"/>
    </row>
    <row r="3" spans="1:16" ht="19.5" outlineLevel="1" thickBot="1" x14ac:dyDescent="0.35">
      <c r="A3" s="20" t="s">
        <v>110</v>
      </c>
      <c r="B3" s="77" t="s">
        <v>79</v>
      </c>
      <c r="C3" s="124">
        <v>2000</v>
      </c>
      <c r="D3" s="124">
        <v>2001</v>
      </c>
      <c r="E3" s="124">
        <v>2002</v>
      </c>
      <c r="F3" s="124">
        <v>2003</v>
      </c>
      <c r="G3" s="124">
        <v>2004</v>
      </c>
      <c r="H3" s="124">
        <v>2005</v>
      </c>
      <c r="I3" s="124">
        <v>2006</v>
      </c>
      <c r="J3" s="124">
        <v>2007</v>
      </c>
      <c r="K3" s="124">
        <v>2008</v>
      </c>
      <c r="L3" s="124">
        <v>2009</v>
      </c>
      <c r="M3" s="124">
        <v>2010</v>
      </c>
      <c r="N3" s="132">
        <v>2011</v>
      </c>
      <c r="O3" s="15"/>
      <c r="P3" s="15"/>
    </row>
    <row r="4" spans="1:16" ht="21" outlineLevel="1" x14ac:dyDescent="0.35">
      <c r="A4" s="72"/>
      <c r="B4" s="86"/>
      <c r="C4" s="240" t="s">
        <v>78</v>
      </c>
      <c r="D4" s="240"/>
      <c r="E4" s="240"/>
      <c r="F4" s="240"/>
      <c r="G4" s="240"/>
      <c r="H4" s="240"/>
      <c r="I4" s="240"/>
      <c r="J4" s="240"/>
      <c r="K4" s="240"/>
      <c r="L4" s="240"/>
      <c r="M4" s="240"/>
      <c r="N4" s="241"/>
      <c r="O4" s="7"/>
      <c r="P4" s="7"/>
    </row>
    <row r="5" spans="1:16" outlineLevel="1" x14ac:dyDescent="0.25">
      <c r="A5" s="58"/>
      <c r="B5" s="139"/>
      <c r="C5" s="238" t="s">
        <v>76</v>
      </c>
      <c r="D5" s="238"/>
      <c r="E5" s="238"/>
      <c r="F5" s="238"/>
      <c r="G5" s="238"/>
      <c r="H5" s="238"/>
      <c r="I5" s="238"/>
      <c r="J5" s="238"/>
      <c r="K5" s="238"/>
      <c r="L5" s="238"/>
      <c r="M5" s="238"/>
      <c r="N5" s="239"/>
      <c r="O5" s="7"/>
      <c r="P5" s="7"/>
    </row>
    <row r="6" spans="1:16" outlineLevel="1" x14ac:dyDescent="0.25">
      <c r="A6" s="122" t="s">
        <v>6</v>
      </c>
      <c r="B6" s="140" t="s">
        <v>1</v>
      </c>
      <c r="C6" s="166"/>
      <c r="D6" s="166"/>
      <c r="E6" s="166"/>
      <c r="F6" s="166"/>
      <c r="G6" s="166"/>
      <c r="H6" s="166"/>
      <c r="I6" s="148">
        <f>[7]Utilisation!$E$19</f>
        <v>0.47975508237226705</v>
      </c>
      <c r="J6" s="148">
        <f>[8]Utilisation!$E$19</f>
        <v>0.48740646547164246</v>
      </c>
      <c r="K6" s="148">
        <f>[9]Utilisation!$E$19</f>
        <v>0.50898711833421972</v>
      </c>
      <c r="L6" s="148">
        <f>[10]Utilisation!$E$19</f>
        <v>0.44404169937943855</v>
      </c>
      <c r="M6" s="148">
        <f>[11]Utilisation!$E$19</f>
        <v>0.41888437707578441</v>
      </c>
      <c r="N6" s="149">
        <f>[12]Utilisation!$E$19</f>
        <v>0.39710176877692088</v>
      </c>
      <c r="O6" s="7"/>
      <c r="P6" s="7"/>
    </row>
    <row r="7" spans="1:16" ht="16.5" outlineLevel="1" thickBot="1" x14ac:dyDescent="0.3">
      <c r="A7" s="19"/>
      <c r="B7" s="141" t="s">
        <v>15</v>
      </c>
      <c r="C7" s="170">
        <f>C96</f>
        <v>0.48408347052780887</v>
      </c>
      <c r="D7" s="167"/>
      <c r="E7" s="167"/>
      <c r="F7" s="167"/>
      <c r="G7" s="167"/>
      <c r="H7" s="167"/>
      <c r="I7" s="150">
        <f>[7]Utilisation!$E$108</f>
        <v>0.48226930072405444</v>
      </c>
      <c r="J7" s="150">
        <f>[8]Utilisation!$E$108</f>
        <v>0.49397815193967815</v>
      </c>
      <c r="K7" s="150">
        <f>[9]Utilisation!$E$108</f>
        <v>0.51713758574517299</v>
      </c>
      <c r="L7" s="150">
        <f>[10]Utilisation!$E$108</f>
        <v>0.4509501115928623</v>
      </c>
      <c r="M7" s="150">
        <f>[11]Utilisation!$E$108</f>
        <v>0.43378744283101334</v>
      </c>
      <c r="N7" s="151">
        <f>[12]Utilisation!$E$108</f>
        <v>0.44377191762129781</v>
      </c>
      <c r="O7" s="7"/>
      <c r="P7" s="7"/>
    </row>
    <row r="8" spans="1:16" outlineLevel="1" x14ac:dyDescent="0.25">
      <c r="A8" s="123"/>
      <c r="B8" s="142" t="s">
        <v>16</v>
      </c>
      <c r="C8" s="168"/>
      <c r="D8" s="168"/>
      <c r="E8" s="168"/>
      <c r="F8" s="168"/>
      <c r="G8" s="168"/>
      <c r="H8" s="168"/>
      <c r="I8" s="152">
        <f>[7]Utilisation!$E$115</f>
        <v>0.36764608606606136</v>
      </c>
      <c r="J8" s="152">
        <f>[8]Utilisation!$E$115</f>
        <v>0.35220895204287234</v>
      </c>
      <c r="K8" s="152">
        <f>[9]Utilisation!$E$115</f>
        <v>0.36600372324597452</v>
      </c>
      <c r="L8" s="152">
        <f>[10]Utilisation!$E$115</f>
        <v>0.31879974202592221</v>
      </c>
      <c r="M8" s="152">
        <f>[11]Utilisation!$E$115</f>
        <v>0.22223468883858222</v>
      </c>
      <c r="N8" s="153">
        <f>[12]Utilisation!$E$115</f>
        <v>8.8970168804900357E-2</v>
      </c>
      <c r="O8" s="247" t="s">
        <v>51</v>
      </c>
      <c r="P8" s="248"/>
    </row>
    <row r="9" spans="1:16" outlineLevel="1" x14ac:dyDescent="0.25">
      <c r="A9" s="19" t="s">
        <v>17</v>
      </c>
      <c r="B9" s="141" t="s">
        <v>1</v>
      </c>
      <c r="C9" s="170">
        <f>C97</f>
        <v>0.34457706287080037</v>
      </c>
      <c r="D9" s="167"/>
      <c r="E9" s="167"/>
      <c r="F9" s="167"/>
      <c r="G9" s="167"/>
      <c r="H9" s="167"/>
      <c r="I9" s="150">
        <f>[7]Utilisation!$E$22</f>
        <v>0.37544949722173093</v>
      </c>
      <c r="J9" s="150">
        <f>[8]Utilisation!$E$22</f>
        <v>0.32196437348531071</v>
      </c>
      <c r="K9" s="150">
        <f>[9]Utilisation!$E$22</f>
        <v>0.34837966001121723</v>
      </c>
      <c r="L9" s="150">
        <f>[10]Utilisation!$E$22</f>
        <v>0.34130096528932719</v>
      </c>
      <c r="M9" s="150">
        <f>[11]Utilisation!$E$22</f>
        <v>0.28395281375087977</v>
      </c>
      <c r="N9" s="151">
        <f>[12]Utilisation!$E$22</f>
        <v>0.32310854157792507</v>
      </c>
      <c r="O9" s="177" t="s">
        <v>7</v>
      </c>
      <c r="P9" s="178" t="s">
        <v>87</v>
      </c>
    </row>
    <row r="10" spans="1:16" outlineLevel="1" x14ac:dyDescent="0.25">
      <c r="A10" s="19"/>
      <c r="B10" s="8">
        <v>500</v>
      </c>
      <c r="C10" s="167"/>
      <c r="D10" s="167"/>
      <c r="E10" s="167"/>
      <c r="F10" s="167"/>
      <c r="G10" s="167"/>
      <c r="H10" s="167"/>
      <c r="I10" s="150">
        <f>[7]Utilisation!$E$34</f>
        <v>0.20693262271739279</v>
      </c>
      <c r="J10" s="150">
        <f>[8]Utilisation!$E$34</f>
        <v>0.20909236024503169</v>
      </c>
      <c r="K10" s="150">
        <f>[9]Utilisation!$E$34</f>
        <v>0.26851841111982921</v>
      </c>
      <c r="L10" s="150">
        <f>[10]Utilisation!$E$34</f>
        <v>0.20546019457605119</v>
      </c>
      <c r="M10" s="150">
        <f>[11]Utilisation!$E$34</f>
        <v>8.2958891813869937E-2</v>
      </c>
      <c r="N10" s="151">
        <f>[12]Utilisation!$E$34</f>
        <v>9.2114608796098618E-2</v>
      </c>
      <c r="O10" s="171">
        <f>AVERAGE(I10:N10)</f>
        <v>0.17751284821137892</v>
      </c>
      <c r="P10" s="47">
        <f>O52/O$51</f>
        <v>0.18019416262174726</v>
      </c>
    </row>
    <row r="11" spans="1:16" outlineLevel="1" x14ac:dyDescent="0.25">
      <c r="A11" s="19"/>
      <c r="B11" s="8">
        <v>330</v>
      </c>
      <c r="C11" s="167"/>
      <c r="D11" s="167"/>
      <c r="E11" s="167"/>
      <c r="F11" s="167"/>
      <c r="G11" s="167"/>
      <c r="H11" s="167"/>
      <c r="I11" s="150">
        <f>[7]Utilisation!$E$43</f>
        <v>0.40437017067149489</v>
      </c>
      <c r="J11" s="150">
        <f>[8]Utilisation!$E$43</f>
        <v>0.34380916522758742</v>
      </c>
      <c r="K11" s="150">
        <f>[9]Utilisation!$E$43</f>
        <v>0.36656855600414057</v>
      </c>
      <c r="L11" s="150">
        <f>[10]Utilisation!$E$43</f>
        <v>0.35386551539196776</v>
      </c>
      <c r="M11" s="150">
        <f>[11]Utilisation!$E$43</f>
        <v>0.39203717101522573</v>
      </c>
      <c r="N11" s="151">
        <f>[12]Utilisation!$E$43</f>
        <v>0.45842962086923728</v>
      </c>
      <c r="O11" s="171">
        <f>AVERAGE(I11:N11)</f>
        <v>0.38651336652994223</v>
      </c>
      <c r="P11" s="47">
        <f t="shared" ref="P11:P16" si="0">O53/O$51</f>
        <v>0.71159836537313181</v>
      </c>
    </row>
    <row r="12" spans="1:16" outlineLevel="1" x14ac:dyDescent="0.25">
      <c r="A12" s="19"/>
      <c r="B12" s="8">
        <v>275</v>
      </c>
      <c r="C12" s="167"/>
      <c r="D12" s="167"/>
      <c r="E12" s="167"/>
      <c r="F12" s="167"/>
      <c r="G12" s="167"/>
      <c r="H12" s="167"/>
      <c r="I12" s="150"/>
      <c r="J12" s="150"/>
      <c r="K12" s="150"/>
      <c r="L12" s="150"/>
      <c r="M12" s="150"/>
      <c r="N12" s="151"/>
      <c r="O12" s="171"/>
      <c r="P12" s="47">
        <f t="shared" si="0"/>
        <v>0</v>
      </c>
    </row>
    <row r="13" spans="1:16" outlineLevel="1" x14ac:dyDescent="0.25">
      <c r="A13" s="19"/>
      <c r="B13" s="8">
        <v>220</v>
      </c>
      <c r="C13" s="167"/>
      <c r="D13" s="167"/>
      <c r="E13" s="167"/>
      <c r="F13" s="167"/>
      <c r="G13" s="167"/>
      <c r="H13" s="167"/>
      <c r="I13" s="150">
        <f>[7]Utilisation!$E$61</f>
        <v>0.21761770157187216</v>
      </c>
      <c r="J13" s="150">
        <f>[8]Utilisation!$E$61</f>
        <v>0.17511975624958603</v>
      </c>
      <c r="K13" s="150">
        <f>[9]Utilisation!$E$61</f>
        <v>0.18270111366134806</v>
      </c>
      <c r="L13" s="150">
        <f>[10]Utilisation!$E$61</f>
        <v>0.58431178566815833</v>
      </c>
      <c r="M13" s="150">
        <f>[11]Utilisation!$E$61</f>
        <v>0.28670035394249549</v>
      </c>
      <c r="N13" s="151">
        <f>[12]Utilisation!$E$61</f>
        <v>0.35723041783964704</v>
      </c>
      <c r="O13" s="171">
        <f t="shared" ref="O13:O14" si="1">AVERAGE(I13:N13)</f>
        <v>0.30061352148885118</v>
      </c>
      <c r="P13" s="47">
        <f t="shared" si="0"/>
        <v>1.801562142314566E-2</v>
      </c>
    </row>
    <row r="14" spans="1:16" outlineLevel="1" x14ac:dyDescent="0.25">
      <c r="A14" s="19"/>
      <c r="B14" s="8">
        <v>132</v>
      </c>
      <c r="C14" s="167"/>
      <c r="D14" s="167"/>
      <c r="E14" s="167"/>
      <c r="F14" s="167"/>
      <c r="G14" s="167"/>
      <c r="H14" s="167"/>
      <c r="I14" s="150">
        <f>[7]Utilisation!$E$70</f>
        <v>0.3373375077792754</v>
      </c>
      <c r="J14" s="150">
        <f>[8]Utilisation!$E$70</f>
        <v>0.26213491237709141</v>
      </c>
      <c r="K14" s="150">
        <f>[9]Utilisation!$E$70</f>
        <v>0.29297212588030264</v>
      </c>
      <c r="L14" s="150">
        <f>[10]Utilisation!$E$70</f>
        <v>0.31607074532419172</v>
      </c>
      <c r="M14" s="150">
        <f>[11]Utilisation!$E$70</f>
        <v>0.31759521246183892</v>
      </c>
      <c r="N14" s="151">
        <f>[12]Utilisation!$E$70</f>
        <v>0.30216303563145402</v>
      </c>
      <c r="O14" s="171">
        <f t="shared" si="1"/>
        <v>0.30471225657569234</v>
      </c>
      <c r="P14" s="47">
        <f t="shared" si="0"/>
        <v>8.890163157389197E-2</v>
      </c>
    </row>
    <row r="15" spans="1:16" outlineLevel="1" x14ac:dyDescent="0.25">
      <c r="A15" s="19"/>
      <c r="B15" s="8">
        <v>110</v>
      </c>
      <c r="C15" s="167"/>
      <c r="D15" s="167"/>
      <c r="E15" s="167"/>
      <c r="F15" s="167"/>
      <c r="G15" s="167"/>
      <c r="H15" s="167"/>
      <c r="I15" s="150"/>
      <c r="J15" s="150"/>
      <c r="K15" s="150"/>
      <c r="L15" s="150"/>
      <c r="M15" s="150"/>
      <c r="N15" s="151"/>
      <c r="O15" s="171"/>
      <c r="P15" s="47">
        <f t="shared" si="0"/>
        <v>0</v>
      </c>
    </row>
    <row r="16" spans="1:16" ht="16.5" outlineLevel="1" thickBot="1" x14ac:dyDescent="0.3">
      <c r="A16" s="25"/>
      <c r="B16" s="79">
        <v>66</v>
      </c>
      <c r="C16" s="169"/>
      <c r="D16" s="169"/>
      <c r="E16" s="169"/>
      <c r="F16" s="169"/>
      <c r="G16" s="169"/>
      <c r="H16" s="169"/>
      <c r="I16" s="154"/>
      <c r="J16" s="154">
        <f>[8]Utilisation!$E$88</f>
        <v>0.30906239164517213</v>
      </c>
      <c r="K16" s="154">
        <f>[9]Utilisation!$E$88</f>
        <v>0.41079855787432057</v>
      </c>
      <c r="L16" s="154">
        <f>[10]Utilisation!$E$88</f>
        <v>0.21546004578606756</v>
      </c>
      <c r="M16" s="154">
        <f>[11]Utilisation!$E$88</f>
        <v>0.1081714086087342</v>
      </c>
      <c r="N16" s="155">
        <f>[12]Utilisation!$E$88</f>
        <v>0.1903032151763191</v>
      </c>
      <c r="O16" s="172"/>
      <c r="P16" s="173">
        <f t="shared" si="0"/>
        <v>1.2902190080836832E-3</v>
      </c>
    </row>
    <row r="17" spans="1:22" outlineLevel="1" x14ac:dyDescent="0.25">
      <c r="A17" s="57"/>
      <c r="B17" s="139"/>
      <c r="C17" s="238" t="s">
        <v>77</v>
      </c>
      <c r="D17" s="238"/>
      <c r="E17" s="238"/>
      <c r="F17" s="238"/>
      <c r="G17" s="238"/>
      <c r="H17" s="238"/>
      <c r="I17" s="238"/>
      <c r="J17" s="238"/>
      <c r="K17" s="238"/>
      <c r="L17" s="238"/>
      <c r="M17" s="238"/>
      <c r="N17" s="239"/>
      <c r="O17" s="7"/>
      <c r="P17" s="7"/>
    </row>
    <row r="18" spans="1:22" outlineLevel="1" x14ac:dyDescent="0.25">
      <c r="A18" s="122" t="s">
        <v>6</v>
      </c>
      <c r="B18" s="140" t="s">
        <v>1</v>
      </c>
      <c r="C18" s="166"/>
      <c r="D18" s="166"/>
      <c r="E18" s="166"/>
      <c r="F18" s="166"/>
      <c r="G18" s="166"/>
      <c r="H18" s="166"/>
      <c r="I18" s="156">
        <f>[7]Utilisation!$E$25</f>
        <v>10936.017102675827</v>
      </c>
      <c r="J18" s="156">
        <f>[8]Utilisation!$E$25</f>
        <v>11566.155425642075</v>
      </c>
      <c r="K18" s="156">
        <f>[9]Utilisation!$E$25</f>
        <v>12080.809253662706</v>
      </c>
      <c r="L18" s="156">
        <f>[10]Utilisation!$E$25</f>
        <v>10872.361009305552</v>
      </c>
      <c r="M18" s="156">
        <f>[11]Utilisation!$E$25</f>
        <v>11267.989743338601</v>
      </c>
      <c r="N18" s="157">
        <f>[12]Utilisation!$E$25</f>
        <v>11933.702355284026</v>
      </c>
      <c r="O18" s="7"/>
      <c r="P18" s="7"/>
    </row>
    <row r="19" spans="1:22" outlineLevel="1" x14ac:dyDescent="0.25">
      <c r="A19" s="19"/>
      <c r="B19" s="141" t="s">
        <v>15</v>
      </c>
      <c r="C19" s="167"/>
      <c r="D19" s="167"/>
      <c r="E19" s="167"/>
      <c r="F19" s="167"/>
      <c r="G19" s="167"/>
      <c r="H19" s="167"/>
      <c r="I19" s="158">
        <f>[7]Utilisation!$E$111</f>
        <v>10752.194059642794</v>
      </c>
      <c r="J19" s="158">
        <f>[8]Utilisation!$E$111</f>
        <v>11178.725578394917</v>
      </c>
      <c r="K19" s="158">
        <f>[9]Utilisation!$E$111</f>
        <v>11612.324487907859</v>
      </c>
      <c r="L19" s="158">
        <f>[10]Utilisation!$E$111</f>
        <v>10464.29733951237</v>
      </c>
      <c r="M19" s="158">
        <f>[11]Utilisation!$E$111</f>
        <v>10846.855007989489</v>
      </c>
      <c r="N19" s="159">
        <f>[12]Utilisation!$E$111</f>
        <v>11582.003277998252</v>
      </c>
      <c r="O19" s="7"/>
      <c r="P19" s="7"/>
    </row>
    <row r="20" spans="1:22" outlineLevel="1" x14ac:dyDescent="0.25">
      <c r="A20" s="123"/>
      <c r="B20" s="142" t="s">
        <v>16</v>
      </c>
      <c r="C20" s="168"/>
      <c r="D20" s="168"/>
      <c r="E20" s="168"/>
      <c r="F20" s="168"/>
      <c r="G20" s="168"/>
      <c r="H20" s="168"/>
      <c r="I20" s="160">
        <f>[7]Utilisation!$E$118</f>
        <v>183.82304303303067</v>
      </c>
      <c r="J20" s="160">
        <f>[8]Utilisation!$E$118</f>
        <v>387.42984724715956</v>
      </c>
      <c r="K20" s="160">
        <f>[9]Utilisation!$E$118</f>
        <v>468.48476575484739</v>
      </c>
      <c r="L20" s="160">
        <f>[10]Utilisation!$E$118</f>
        <v>408.0636697931804</v>
      </c>
      <c r="M20" s="160">
        <f>[11]Utilisation!$E$118</f>
        <v>421.13473534911333</v>
      </c>
      <c r="N20" s="161">
        <f>[12]Utilisation!$E$118</f>
        <v>351.69907728577112</v>
      </c>
      <c r="O20" s="7"/>
      <c r="P20" s="7"/>
    </row>
    <row r="21" spans="1:22" outlineLevel="1" x14ac:dyDescent="0.25">
      <c r="A21" s="19" t="s">
        <v>17</v>
      </c>
      <c r="B21" s="141" t="s">
        <v>1</v>
      </c>
      <c r="C21" s="167"/>
      <c r="D21" s="167"/>
      <c r="E21" s="167"/>
      <c r="F21" s="167"/>
      <c r="G21" s="167"/>
      <c r="H21" s="167"/>
      <c r="I21" s="158">
        <f>[7]Utilisation!$E$27</f>
        <v>37296.168474771228</v>
      </c>
      <c r="J21" s="158">
        <f>[8]Utilisation!$E$27</f>
        <v>35250.415623079993</v>
      </c>
      <c r="K21" s="158">
        <f>[9]Utilisation!$E$27</f>
        <v>40017.371054654708</v>
      </c>
      <c r="L21" s="158">
        <f>[10]Utilisation!$E$27</f>
        <v>38026.91468595068</v>
      </c>
      <c r="M21" s="158">
        <f>[11]Utilisation!$E$27</f>
        <v>42212.533784628817</v>
      </c>
      <c r="N21" s="159">
        <f>[12]Utilisation!$E$27</f>
        <v>47554.044400634622</v>
      </c>
      <c r="O21" s="7"/>
      <c r="P21" s="7"/>
    </row>
    <row r="22" spans="1:22" outlineLevel="1" x14ac:dyDescent="0.25">
      <c r="A22" s="19"/>
      <c r="B22" s="8">
        <v>500</v>
      </c>
      <c r="C22" s="167"/>
      <c r="D22" s="167"/>
      <c r="E22" s="167"/>
      <c r="F22" s="167"/>
      <c r="G22" s="167"/>
      <c r="H22" s="167"/>
      <c r="I22" s="158">
        <f>[7]Utilisation!$E$37</f>
        <v>856.70105805000617</v>
      </c>
      <c r="J22" s="158">
        <f>[8]Utilisation!$E$37</f>
        <v>865.64237141443118</v>
      </c>
      <c r="K22" s="158">
        <f>[9]Utilisation!$E$37</f>
        <v>1111.6662220360929</v>
      </c>
      <c r="L22" s="158">
        <f>[10]Utilisation!$E$37</f>
        <v>850.60520554485197</v>
      </c>
      <c r="M22" s="158">
        <f>[11]Utilisation!$E$37</f>
        <v>1637.2739470504205</v>
      </c>
      <c r="N22" s="159">
        <f>[12]Utilisation!$E$37</f>
        <v>1674.7068458787458</v>
      </c>
      <c r="O22" s="7"/>
      <c r="P22" s="7"/>
    </row>
    <row r="23" spans="1:22" outlineLevel="1" x14ac:dyDescent="0.25">
      <c r="A23" s="19"/>
      <c r="B23" s="8">
        <v>330</v>
      </c>
      <c r="C23" s="167"/>
      <c r="D23" s="167"/>
      <c r="E23" s="167"/>
      <c r="F23" s="167"/>
      <c r="G23" s="167"/>
      <c r="H23" s="167"/>
      <c r="I23" s="158">
        <f>[7]Utilisation!$E$46</f>
        <v>25435.52637138803</v>
      </c>
      <c r="J23" s="158">
        <f>[8]Utilisation!$E$46</f>
        <v>24459.596723915885</v>
      </c>
      <c r="K23" s="158">
        <f>[9]Utilisation!$E$46</f>
        <v>27650.800162661006</v>
      </c>
      <c r="L23" s="158">
        <f>[10]Utilisation!$E$46</f>
        <v>23168.034866179463</v>
      </c>
      <c r="M23" s="158">
        <f>[11]Utilisation!$E$46</f>
        <v>26228.229745193905</v>
      </c>
      <c r="N23" s="159">
        <f>[12]Utilisation!$E$46</f>
        <v>29552.872012049607</v>
      </c>
      <c r="O23" s="7"/>
      <c r="P23" s="7"/>
    </row>
    <row r="24" spans="1:22" outlineLevel="1" x14ac:dyDescent="0.25">
      <c r="A24" s="19"/>
      <c r="B24" s="8">
        <v>275</v>
      </c>
      <c r="C24" s="167"/>
      <c r="D24" s="167"/>
      <c r="E24" s="167"/>
      <c r="F24" s="167"/>
      <c r="G24" s="167"/>
      <c r="H24" s="167"/>
      <c r="I24" s="158">
        <f>[7]Utilisation!$E$55</f>
        <v>0</v>
      </c>
      <c r="J24" s="158">
        <f>[8]Utilisation!$E$55</f>
        <v>0</v>
      </c>
      <c r="K24" s="158">
        <f>[9]Utilisation!$E$55</f>
        <v>0</v>
      </c>
      <c r="L24" s="158">
        <f>[10]Utilisation!$E$55</f>
        <v>0</v>
      </c>
      <c r="M24" s="158">
        <f>[11]Utilisation!$E$55</f>
        <v>0</v>
      </c>
      <c r="N24" s="159">
        <f>[12]Utilisation!$E$55</f>
        <v>0</v>
      </c>
      <c r="O24" s="7"/>
      <c r="P24" s="7"/>
    </row>
    <row r="25" spans="1:22" outlineLevel="1" x14ac:dyDescent="0.25">
      <c r="A25" s="19"/>
      <c r="B25" s="8">
        <v>220</v>
      </c>
      <c r="C25" s="167"/>
      <c r="D25" s="167"/>
      <c r="E25" s="167"/>
      <c r="F25" s="167"/>
      <c r="G25" s="167"/>
      <c r="H25" s="167"/>
      <c r="I25" s="158">
        <f>[7]Utilisation!$E$64</f>
        <v>122.95702096217903</v>
      </c>
      <c r="J25" s="158">
        <f>[8]Utilisation!$E$64</f>
        <v>96.765382579235933</v>
      </c>
      <c r="K25" s="158">
        <f>[9]Utilisation!$E$64</f>
        <v>106.24174295501965</v>
      </c>
      <c r="L25" s="158">
        <f>[10]Utilisation!$E$64</f>
        <v>368.15292316113238</v>
      </c>
      <c r="M25" s="158">
        <f>[11]Utilisation!$E$64</f>
        <v>174.3150069122099</v>
      </c>
      <c r="N25" s="159">
        <f>[12]Utilisation!$E$64</f>
        <v>222.62557590025239</v>
      </c>
      <c r="O25" s="7"/>
      <c r="P25" s="7"/>
    </row>
    <row r="26" spans="1:22" outlineLevel="1" x14ac:dyDescent="0.25">
      <c r="A26" s="19"/>
      <c r="B26" s="8">
        <v>132</v>
      </c>
      <c r="C26" s="167"/>
      <c r="D26" s="167"/>
      <c r="E26" s="167"/>
      <c r="F26" s="167"/>
      <c r="G26" s="167"/>
      <c r="H26" s="167"/>
      <c r="I26" s="158">
        <f>[7]Utilisation!$E$73</f>
        <v>10880.98402437103</v>
      </c>
      <c r="J26" s="158">
        <f>[8]Utilisation!$E$73</f>
        <v>9652.5080117820871</v>
      </c>
      <c r="K26" s="158">
        <f>[9]Utilisation!$E$73</f>
        <v>10932.809326076431</v>
      </c>
      <c r="L26" s="158">
        <f>[10]Utilisation!$E$73</f>
        <v>13445.640943423812</v>
      </c>
      <c r="M26" s="158">
        <f>[11]Utilisation!$E$73</f>
        <v>13960.141016057867</v>
      </c>
      <c r="N26" s="159">
        <f>[12]Utilisation!$E$73</f>
        <v>15906.222534338516</v>
      </c>
      <c r="O26" s="7"/>
      <c r="P26" s="7"/>
    </row>
    <row r="27" spans="1:22" outlineLevel="1" x14ac:dyDescent="0.25">
      <c r="A27" s="19"/>
      <c r="B27" s="8">
        <v>110</v>
      </c>
      <c r="C27" s="167"/>
      <c r="D27" s="167"/>
      <c r="E27" s="167"/>
      <c r="F27" s="167"/>
      <c r="G27" s="167"/>
      <c r="H27" s="167"/>
      <c r="I27" s="158">
        <f>[7]Utilisation!$E$82</f>
        <v>0</v>
      </c>
      <c r="J27" s="158">
        <f>[8]Utilisation!$E$82</f>
        <v>0</v>
      </c>
      <c r="K27" s="158">
        <f>[9]Utilisation!$E$82</f>
        <v>0</v>
      </c>
      <c r="L27" s="158">
        <f>[10]Utilisation!$E$82</f>
        <v>0</v>
      </c>
      <c r="M27" s="158">
        <f>[11]Utilisation!$E$82</f>
        <v>0</v>
      </c>
      <c r="N27" s="159">
        <f>[12]Utilisation!$E$82</f>
        <v>0</v>
      </c>
      <c r="O27" s="7"/>
      <c r="P27" s="7"/>
    </row>
    <row r="28" spans="1:22" outlineLevel="1" x14ac:dyDescent="0.25">
      <c r="A28" s="25"/>
      <c r="B28" s="79">
        <v>66</v>
      </c>
      <c r="C28" s="169"/>
      <c r="D28" s="169"/>
      <c r="E28" s="169"/>
      <c r="F28" s="169"/>
      <c r="G28" s="169"/>
      <c r="H28" s="169"/>
      <c r="I28" s="162">
        <f>[7]Utilisation!$E$91</f>
        <v>0</v>
      </c>
      <c r="J28" s="162">
        <f>[8]Utilisation!$E$91</f>
        <v>175.90313338838175</v>
      </c>
      <c r="K28" s="162">
        <f>[9]Utilisation!$E$91</f>
        <v>215.8536009261544</v>
      </c>
      <c r="L28" s="162">
        <f>[10]Utilisation!$E$91</f>
        <v>194.48074764145417</v>
      </c>
      <c r="M28" s="162">
        <f>[11]Utilisation!$E$91</f>
        <v>212.57406941439851</v>
      </c>
      <c r="N28" s="163">
        <f>[12]Utilisation!$E$91</f>
        <v>197.61743246754008</v>
      </c>
      <c r="O28" s="7"/>
      <c r="P28" s="7"/>
    </row>
    <row r="29" spans="1:22" outlineLevel="1" x14ac:dyDescent="0.25">
      <c r="A29" s="57"/>
      <c r="B29" s="139"/>
      <c r="C29" s="238" t="s">
        <v>81</v>
      </c>
      <c r="D29" s="238"/>
      <c r="E29" s="238"/>
      <c r="F29" s="238"/>
      <c r="G29" s="238"/>
      <c r="H29" s="238"/>
      <c r="I29" s="238"/>
      <c r="J29" s="238"/>
      <c r="K29" s="238"/>
      <c r="L29" s="238"/>
      <c r="M29" s="238"/>
      <c r="N29" s="239"/>
      <c r="O29" s="7"/>
      <c r="P29" s="7"/>
    </row>
    <row r="30" spans="1:22" outlineLevel="1" x14ac:dyDescent="0.25">
      <c r="A30" s="122" t="s">
        <v>6</v>
      </c>
      <c r="B30" s="140" t="s">
        <v>1</v>
      </c>
      <c r="C30" s="166"/>
      <c r="D30" s="166"/>
      <c r="E30" s="166"/>
      <c r="F30" s="166"/>
      <c r="G30" s="166"/>
      <c r="H30" s="166"/>
      <c r="I30" s="156">
        <f>[7]Utilisation!$E$24</f>
        <v>22795</v>
      </c>
      <c r="J30" s="156">
        <f>[8]Utilisation!$E$24</f>
        <v>23730</v>
      </c>
      <c r="K30" s="156">
        <f>[9]Utilisation!$E$24</f>
        <v>23735</v>
      </c>
      <c r="L30" s="156">
        <f>[10]Utilisation!$E$24</f>
        <v>24485</v>
      </c>
      <c r="M30" s="156">
        <f>[11]Utilisation!$E$24</f>
        <v>26900</v>
      </c>
      <c r="N30" s="157">
        <f>[12]Utilisation!$E$24</f>
        <v>30052</v>
      </c>
      <c r="O30" s="7"/>
      <c r="P30" s="7"/>
    </row>
    <row r="31" spans="1:22" outlineLevel="1" x14ac:dyDescent="0.25">
      <c r="A31" s="19"/>
      <c r="B31" s="141" t="s">
        <v>15</v>
      </c>
      <c r="C31" s="167"/>
      <c r="D31" s="167"/>
      <c r="E31" s="167"/>
      <c r="F31" s="167"/>
      <c r="G31" s="167"/>
      <c r="H31" s="167"/>
      <c r="I31" s="158">
        <f>[7]Utilisation!$E$110</f>
        <v>22295</v>
      </c>
      <c r="J31" s="158">
        <f>[8]Utilisation!$E$110</f>
        <v>22630</v>
      </c>
      <c r="K31" s="158">
        <f>[9]Utilisation!$E$110</f>
        <v>22455</v>
      </c>
      <c r="L31" s="158">
        <f>[10]Utilisation!$E$110</f>
        <v>23205</v>
      </c>
      <c r="M31" s="158">
        <f>[11]Utilisation!$E$110</f>
        <v>25005</v>
      </c>
      <c r="N31" s="159">
        <f>[12]Utilisation!$E$110</f>
        <v>26099</v>
      </c>
      <c r="O31" s="7"/>
      <c r="P31" s="7"/>
    </row>
    <row r="32" spans="1:22" outlineLevel="1" x14ac:dyDescent="0.25">
      <c r="A32" s="123"/>
      <c r="B32" s="142" t="s">
        <v>16</v>
      </c>
      <c r="C32" s="168"/>
      <c r="D32" s="168"/>
      <c r="E32" s="168"/>
      <c r="F32" s="168"/>
      <c r="G32" s="168"/>
      <c r="H32" s="168"/>
      <c r="I32" s="160">
        <f>[7]Utilisation!$E$117</f>
        <v>500</v>
      </c>
      <c r="J32" s="160">
        <f>[8]Utilisation!$E$117</f>
        <v>1100</v>
      </c>
      <c r="K32" s="160">
        <f>[9]Utilisation!$E$117</f>
        <v>1280</v>
      </c>
      <c r="L32" s="160">
        <f>[10]Utilisation!$E$117</f>
        <v>1280</v>
      </c>
      <c r="M32" s="160">
        <f>[11]Utilisation!$E$117</f>
        <v>1895</v>
      </c>
      <c r="N32" s="161">
        <f>[12]Utilisation!$E$117</f>
        <v>3953</v>
      </c>
      <c r="O32" s="7"/>
      <c r="P32" s="7"/>
      <c r="Q32" s="2"/>
      <c r="R32" s="2"/>
      <c r="S32" s="2"/>
      <c r="T32" s="2"/>
      <c r="U32" s="2"/>
      <c r="V32" s="2"/>
    </row>
    <row r="33" spans="1:16" outlineLevel="1" x14ac:dyDescent="0.25">
      <c r="A33" s="19" t="s">
        <v>17</v>
      </c>
      <c r="B33" s="141" t="s">
        <v>1</v>
      </c>
      <c r="C33" s="167"/>
      <c r="D33" s="167"/>
      <c r="E33" s="167"/>
      <c r="F33" s="167"/>
      <c r="G33" s="167"/>
      <c r="H33" s="167"/>
      <c r="I33" s="158">
        <f>[7]Utilisation!$E$26</f>
        <v>99783</v>
      </c>
      <c r="J33" s="158">
        <f>[8]Utilisation!$E$26</f>
        <v>116072</v>
      </c>
      <c r="K33" s="158">
        <f>[9]Utilisation!$E$26</f>
        <v>119411</v>
      </c>
      <c r="L33" s="158">
        <f>[10]Utilisation!$E$26</f>
        <v>115009</v>
      </c>
      <c r="M33" s="158">
        <f>[11]Utilisation!$E$26</f>
        <v>137874</v>
      </c>
      <c r="N33" s="159">
        <f>[12]Utilisation!$E$26</f>
        <v>145296</v>
      </c>
      <c r="O33" s="7"/>
      <c r="P33" s="7"/>
    </row>
    <row r="34" spans="1:16" outlineLevel="1" x14ac:dyDescent="0.25">
      <c r="A34" s="19"/>
      <c r="B34" s="8">
        <v>500</v>
      </c>
      <c r="C34" s="167"/>
      <c r="D34" s="167"/>
      <c r="E34" s="167"/>
      <c r="F34" s="167"/>
      <c r="G34" s="167"/>
      <c r="H34" s="167"/>
      <c r="I34" s="158">
        <f>[7]Utilisation!$E$36</f>
        <v>4140</v>
      </c>
      <c r="J34" s="158">
        <f>[8]Utilisation!$E$36</f>
        <v>4140</v>
      </c>
      <c r="K34" s="158">
        <f>[9]Utilisation!$E$36</f>
        <v>4140</v>
      </c>
      <c r="L34" s="158">
        <f>[10]Utilisation!$E$36</f>
        <v>4140</v>
      </c>
      <c r="M34" s="158">
        <f>[11]Utilisation!$E$36</f>
        <v>17514</v>
      </c>
      <c r="N34" s="159">
        <f>[12]Utilisation!$E$36</f>
        <v>18407</v>
      </c>
      <c r="O34" s="7"/>
      <c r="P34" s="7"/>
    </row>
    <row r="35" spans="1:16" outlineLevel="1" x14ac:dyDescent="0.25">
      <c r="A35" s="19"/>
      <c r="B35" s="8">
        <v>330</v>
      </c>
      <c r="C35" s="167"/>
      <c r="D35" s="167"/>
      <c r="E35" s="167"/>
      <c r="F35" s="167"/>
      <c r="G35" s="167"/>
      <c r="H35" s="167"/>
      <c r="I35" s="158">
        <f>[7]Utilisation!$E$45</f>
        <v>65479</v>
      </c>
      <c r="J35" s="158">
        <f>[8]Utilisation!$E$45</f>
        <v>75362</v>
      </c>
      <c r="K35" s="158">
        <f>[9]Utilisation!$E$45</f>
        <v>78035</v>
      </c>
      <c r="L35" s="158">
        <f>[10]Utilisation!$E$45</f>
        <v>69457</v>
      </c>
      <c r="M35" s="158">
        <f>[11]Utilisation!$E$45</f>
        <v>75629</v>
      </c>
      <c r="N35" s="159">
        <f>[12]Utilisation!$E$45</f>
        <v>74601</v>
      </c>
      <c r="O35" s="7"/>
      <c r="P35" s="7"/>
    </row>
    <row r="36" spans="1:16" outlineLevel="1" x14ac:dyDescent="0.25">
      <c r="A36" s="19"/>
      <c r="B36" s="8">
        <v>275</v>
      </c>
      <c r="C36" s="167"/>
      <c r="D36" s="167"/>
      <c r="E36" s="167"/>
      <c r="F36" s="167"/>
      <c r="G36" s="167"/>
      <c r="H36" s="167"/>
      <c r="I36" s="158">
        <f>[7]Utilisation!$E$54</f>
        <v>0</v>
      </c>
      <c r="J36" s="158">
        <f>[8]Utilisation!$E$54</f>
        <v>0</v>
      </c>
      <c r="K36" s="158">
        <f>[9]Utilisation!$E$54</f>
        <v>0</v>
      </c>
      <c r="L36" s="158">
        <f>[10]Utilisation!$E$54</f>
        <v>0</v>
      </c>
      <c r="M36" s="158">
        <f>[11]Utilisation!$E$54</f>
        <v>0</v>
      </c>
      <c r="N36" s="159">
        <f>[12]Utilisation!$E$54</f>
        <v>0</v>
      </c>
      <c r="O36" s="7"/>
      <c r="P36" s="7"/>
    </row>
    <row r="37" spans="1:16" outlineLevel="1" x14ac:dyDescent="0.25">
      <c r="A37" s="19"/>
      <c r="B37" s="8">
        <v>220</v>
      </c>
      <c r="C37" s="167"/>
      <c r="D37" s="167"/>
      <c r="E37" s="167"/>
      <c r="F37" s="167"/>
      <c r="G37" s="167"/>
      <c r="H37" s="167"/>
      <c r="I37" s="158">
        <f>[7]Utilisation!$E$63</f>
        <v>623</v>
      </c>
      <c r="J37" s="158">
        <f>[8]Utilisation!$E$63</f>
        <v>623</v>
      </c>
      <c r="K37" s="158">
        <f>[9]Utilisation!$E$63</f>
        <v>623</v>
      </c>
      <c r="L37" s="158">
        <f>[10]Utilisation!$E$63</f>
        <v>623</v>
      </c>
      <c r="M37" s="158">
        <f>[11]Utilisation!$E$63</f>
        <v>623</v>
      </c>
      <c r="N37" s="159">
        <f>[12]Utilisation!$E$63</f>
        <v>623</v>
      </c>
      <c r="O37" s="7"/>
      <c r="P37" s="7"/>
    </row>
    <row r="38" spans="1:16" outlineLevel="1" x14ac:dyDescent="0.25">
      <c r="A38" s="19"/>
      <c r="B38" s="8">
        <v>132</v>
      </c>
      <c r="C38" s="167"/>
      <c r="D38" s="167"/>
      <c r="E38" s="167"/>
      <c r="F38" s="167"/>
      <c r="G38" s="167"/>
      <c r="H38" s="167"/>
      <c r="I38" s="158">
        <f>[7]Utilisation!$E$72</f>
        <v>29541</v>
      </c>
      <c r="J38" s="158">
        <f>[8]Utilisation!$E$72</f>
        <v>35439</v>
      </c>
      <c r="K38" s="158">
        <f>[9]Utilisation!$E$72</f>
        <v>36105</v>
      </c>
      <c r="L38" s="158">
        <f>[10]Utilisation!$E$72</f>
        <v>40223</v>
      </c>
      <c r="M38" s="158">
        <f>[11]Utilisation!$E$72</f>
        <v>42561</v>
      </c>
      <c r="N38" s="159">
        <f>[12]Utilisation!$E$72</f>
        <v>50945</v>
      </c>
      <c r="O38" s="7"/>
      <c r="P38" s="7"/>
    </row>
    <row r="39" spans="1:16" outlineLevel="1" x14ac:dyDescent="0.25">
      <c r="A39" s="19"/>
      <c r="B39" s="8">
        <v>110</v>
      </c>
      <c r="C39" s="167"/>
      <c r="D39" s="167"/>
      <c r="E39" s="167"/>
      <c r="F39" s="167"/>
      <c r="G39" s="167"/>
      <c r="H39" s="167"/>
      <c r="I39" s="158">
        <f>[7]Utilisation!$E$81</f>
        <v>0</v>
      </c>
      <c r="J39" s="158">
        <f>[8]Utilisation!$E$81</f>
        <v>0</v>
      </c>
      <c r="K39" s="158">
        <f>[9]Utilisation!$E$81</f>
        <v>0</v>
      </c>
      <c r="L39" s="158">
        <f>[10]Utilisation!$E$81</f>
        <v>0</v>
      </c>
      <c r="M39" s="158">
        <f>[11]Utilisation!$E$81</f>
        <v>0</v>
      </c>
      <c r="N39" s="159">
        <f>[12]Utilisation!$E$81</f>
        <v>0</v>
      </c>
      <c r="O39" s="7"/>
      <c r="P39" s="7"/>
    </row>
    <row r="40" spans="1:16" outlineLevel="1" x14ac:dyDescent="0.25">
      <c r="A40" s="25"/>
      <c r="B40" s="79">
        <v>66</v>
      </c>
      <c r="C40" s="169"/>
      <c r="D40" s="169"/>
      <c r="E40" s="169"/>
      <c r="F40" s="169"/>
      <c r="G40" s="169"/>
      <c r="H40" s="169"/>
      <c r="I40" s="162">
        <f>[7]Utilisation!$E$90</f>
        <v>0</v>
      </c>
      <c r="J40" s="162">
        <f>[8]Utilisation!$E$90</f>
        <v>508</v>
      </c>
      <c r="K40" s="162">
        <f>[9]Utilisation!$E$90</f>
        <v>508</v>
      </c>
      <c r="L40" s="162">
        <f>[10]Utilisation!$E$90</f>
        <v>566</v>
      </c>
      <c r="M40" s="162">
        <f>[11]Utilisation!$E$90</f>
        <v>1547</v>
      </c>
      <c r="N40" s="163">
        <f>[12]Utilisation!$E$90</f>
        <v>720</v>
      </c>
      <c r="O40" s="7"/>
      <c r="P40" s="7"/>
    </row>
    <row r="41" spans="1:16" outlineLevel="1" x14ac:dyDescent="0.25">
      <c r="A41" s="58"/>
      <c r="B41" s="143"/>
      <c r="C41" s="242" t="s">
        <v>82</v>
      </c>
      <c r="D41" s="242"/>
      <c r="E41" s="242"/>
      <c r="F41" s="242"/>
      <c r="G41" s="242"/>
      <c r="H41" s="242"/>
      <c r="I41" s="242"/>
      <c r="J41" s="242"/>
      <c r="K41" s="242"/>
      <c r="L41" s="242"/>
      <c r="M41" s="242"/>
      <c r="N41" s="243"/>
      <c r="O41" s="7"/>
      <c r="P41" s="7"/>
    </row>
    <row r="42" spans="1:16" outlineLevel="1" x14ac:dyDescent="0.25">
      <c r="A42" s="19" t="s">
        <v>17</v>
      </c>
      <c r="B42" s="141" t="s">
        <v>1</v>
      </c>
      <c r="C42" s="167"/>
      <c r="D42" s="167"/>
      <c r="E42" s="167"/>
      <c r="F42" s="167"/>
      <c r="G42" s="167"/>
      <c r="H42" s="167"/>
      <c r="I42" s="158">
        <f>[7]Utilisation!$E$28</f>
        <v>10590.291084676133</v>
      </c>
      <c r="J42" s="158">
        <f>[8]Utilisation!$E$28</f>
        <v>11115.488123372235</v>
      </c>
      <c r="K42" s="158">
        <f>[9]Utilisation!$E$28</f>
        <v>11273.32104383863</v>
      </c>
      <c r="L42" s="158">
        <f>[10]Utilisation!$E$28</f>
        <v>11390.643845452143</v>
      </c>
      <c r="M42" s="158">
        <f>[11]Utilisation!$E$28</f>
        <v>12849.633026994328</v>
      </c>
      <c r="N42" s="159">
        <f>[12]Utilisation!$E$28</f>
        <v>12258.331367457977</v>
      </c>
      <c r="O42" s="7"/>
      <c r="P42" s="7"/>
    </row>
    <row r="43" spans="1:16" outlineLevel="1" x14ac:dyDescent="0.25">
      <c r="A43" s="19"/>
      <c r="B43" s="8">
        <v>500</v>
      </c>
      <c r="C43" s="167"/>
      <c r="D43" s="167"/>
      <c r="E43" s="167"/>
      <c r="F43" s="167"/>
      <c r="G43" s="167"/>
      <c r="H43" s="167"/>
      <c r="I43" s="158">
        <f>[7]Utilisation!$E$38</f>
        <v>286.60000000000002</v>
      </c>
      <c r="J43" s="158">
        <f>[8]Utilisation!$E$38</f>
        <v>286.60000000000002</v>
      </c>
      <c r="K43" s="158">
        <f>[9]Utilisation!$E$38</f>
        <v>286.60000000000002</v>
      </c>
      <c r="L43" s="158">
        <f>[10]Utilisation!$E$38</f>
        <v>286.60000000000002</v>
      </c>
      <c r="M43" s="158">
        <f>[11]Utilisation!$E$38</f>
        <v>1277.0446617137413</v>
      </c>
      <c r="N43" s="159">
        <f>[12]Utilisation!$E$38</f>
        <v>1017.9999999999999</v>
      </c>
      <c r="O43" s="7"/>
      <c r="P43" s="7"/>
    </row>
    <row r="44" spans="1:16" outlineLevel="1" x14ac:dyDescent="0.25">
      <c r="A44" s="19"/>
      <c r="B44" s="8">
        <v>330</v>
      </c>
      <c r="C44" s="167"/>
      <c r="D44" s="167"/>
      <c r="E44" s="167"/>
      <c r="F44" s="167"/>
      <c r="G44" s="167"/>
      <c r="H44" s="167"/>
      <c r="I44" s="158">
        <f>[7]Utilisation!$E$47</f>
        <v>5080.2608761526481</v>
      </c>
      <c r="J44" s="158">
        <f>[8]Utilisation!$E$47</f>
        <v>5254.5608761526473</v>
      </c>
      <c r="K44" s="158">
        <f>[9]Utilisation!$E$47</f>
        <v>5297.8392008798073</v>
      </c>
      <c r="L44" s="158">
        <f>[10]Utilisation!$E$47</f>
        <v>5227.8236651213883</v>
      </c>
      <c r="M44" s="158">
        <f>[11]Utilisation!$E$47</f>
        <v>5359.2451998900224</v>
      </c>
      <c r="N44" s="159">
        <f>[12]Utilisation!$E$47</f>
        <v>4806.2000000000016</v>
      </c>
      <c r="O44" s="7"/>
      <c r="P44" s="7"/>
    </row>
    <row r="45" spans="1:16" outlineLevel="1" x14ac:dyDescent="0.25">
      <c r="A45" s="19"/>
      <c r="B45" s="8">
        <v>275</v>
      </c>
      <c r="C45" s="167"/>
      <c r="D45" s="167"/>
      <c r="E45" s="167"/>
      <c r="F45" s="167"/>
      <c r="G45" s="167"/>
      <c r="H45" s="167"/>
      <c r="I45" s="158">
        <f>[7]Utilisation!$E$56</f>
        <v>0</v>
      </c>
      <c r="J45" s="158">
        <f>[8]Utilisation!$E$56</f>
        <v>0</v>
      </c>
      <c r="K45" s="158">
        <f>[9]Utilisation!$E$56</f>
        <v>0</v>
      </c>
      <c r="L45" s="158">
        <f>[10]Utilisation!$E$56</f>
        <v>0</v>
      </c>
      <c r="M45" s="158">
        <f>[11]Utilisation!$E$56</f>
        <v>0</v>
      </c>
      <c r="N45" s="159">
        <f>[12]Utilisation!$E$56</f>
        <v>0</v>
      </c>
      <c r="O45" s="7"/>
      <c r="P45" s="7"/>
    </row>
    <row r="46" spans="1:16" outlineLevel="1" x14ac:dyDescent="0.25">
      <c r="A46" s="19"/>
      <c r="B46" s="8">
        <v>220</v>
      </c>
      <c r="C46" s="167"/>
      <c r="D46" s="167"/>
      <c r="E46" s="167"/>
      <c r="F46" s="167"/>
      <c r="G46" s="167"/>
      <c r="H46" s="167"/>
      <c r="I46" s="158">
        <f>[7]Utilisation!$E$65</f>
        <v>657.3</v>
      </c>
      <c r="J46" s="158">
        <f>[8]Utilisation!$E$65</f>
        <v>657.3</v>
      </c>
      <c r="K46" s="158">
        <f>[9]Utilisation!$E$65</f>
        <v>657.3</v>
      </c>
      <c r="L46" s="158">
        <f>[10]Utilisation!$E$65</f>
        <v>657.3</v>
      </c>
      <c r="M46" s="158">
        <f>[11]Utilisation!$E$65</f>
        <v>657.3</v>
      </c>
      <c r="N46" s="159">
        <f>[12]Utilisation!$E$65</f>
        <v>657.3</v>
      </c>
      <c r="O46" s="7"/>
      <c r="P46" s="7"/>
    </row>
    <row r="47" spans="1:16" outlineLevel="1" x14ac:dyDescent="0.25">
      <c r="A47" s="19"/>
      <c r="B47" s="8">
        <v>132</v>
      </c>
      <c r="C47" s="167"/>
      <c r="D47" s="167"/>
      <c r="E47" s="167"/>
      <c r="F47" s="167"/>
      <c r="G47" s="167"/>
      <c r="H47" s="167"/>
      <c r="I47" s="158">
        <f>[7]Utilisation!$E$74</f>
        <v>4566.1302085234956</v>
      </c>
      <c r="J47" s="158">
        <f>[8]Utilisation!$E$74</f>
        <v>4811.5977066824398</v>
      </c>
      <c r="K47" s="158">
        <f>[9]Utilisation!$E$74</f>
        <v>4926.1523024216758</v>
      </c>
      <c r="L47" s="158">
        <f>[10]Utilisation!$E$74</f>
        <v>5056.0607593349132</v>
      </c>
      <c r="M47" s="158">
        <f>[11]Utilisation!$E$74</f>
        <v>5392.2798356046542</v>
      </c>
      <c r="N47" s="159">
        <f>[12]Utilisation!$E$74</f>
        <v>5587.1927913393611</v>
      </c>
      <c r="O47" s="7"/>
      <c r="P47" s="7"/>
    </row>
    <row r="48" spans="1:16" outlineLevel="1" x14ac:dyDescent="0.25">
      <c r="A48" s="19"/>
      <c r="B48" s="8">
        <v>110</v>
      </c>
      <c r="C48" s="167"/>
      <c r="D48" s="167"/>
      <c r="E48" s="167"/>
      <c r="F48" s="167"/>
      <c r="G48" s="167"/>
      <c r="H48" s="167"/>
      <c r="I48" s="158">
        <f>[7]Utilisation!$E$83</f>
        <v>0</v>
      </c>
      <c r="J48" s="158">
        <f>[8]Utilisation!$E$83</f>
        <v>0</v>
      </c>
      <c r="K48" s="158">
        <f>[9]Utilisation!$E$83</f>
        <v>0</v>
      </c>
      <c r="L48" s="158">
        <f>[10]Utilisation!$E$83</f>
        <v>0</v>
      </c>
      <c r="M48" s="158">
        <f>[11]Utilisation!$E$83</f>
        <v>0</v>
      </c>
      <c r="N48" s="159">
        <f>[12]Utilisation!$E$83</f>
        <v>0</v>
      </c>
      <c r="O48" s="7"/>
      <c r="P48" s="7"/>
    </row>
    <row r="49" spans="1:16" outlineLevel="1" x14ac:dyDescent="0.25">
      <c r="A49" s="25"/>
      <c r="B49" s="79">
        <v>66</v>
      </c>
      <c r="C49" s="169"/>
      <c r="D49" s="169"/>
      <c r="E49" s="169"/>
      <c r="F49" s="169"/>
      <c r="G49" s="169"/>
      <c r="H49" s="169"/>
      <c r="I49" s="162">
        <f>[7]Utilisation!$E$92</f>
        <v>0</v>
      </c>
      <c r="J49" s="162">
        <f>[8]Utilisation!$E$92</f>
        <v>105.42954053715829</v>
      </c>
      <c r="K49" s="162">
        <f>[9]Utilisation!$E$92</f>
        <v>105.42954053715829</v>
      </c>
      <c r="L49" s="162">
        <f>[10]Utilisation!$E$92</f>
        <v>162.8594209958558</v>
      </c>
      <c r="M49" s="162">
        <f>[11]Utilisation!$E$92</f>
        <v>163.76332978592319</v>
      </c>
      <c r="N49" s="163">
        <f>[12]Utilisation!$E$92</f>
        <v>189.63857611863222</v>
      </c>
      <c r="O49" s="7"/>
      <c r="P49" s="7"/>
    </row>
    <row r="50" spans="1:16" outlineLevel="1" x14ac:dyDescent="0.25">
      <c r="A50" s="57"/>
      <c r="B50" s="139"/>
      <c r="C50" s="251" t="s">
        <v>83</v>
      </c>
      <c r="D50" s="251"/>
      <c r="E50" s="251"/>
      <c r="F50" s="251"/>
      <c r="G50" s="251"/>
      <c r="H50" s="251"/>
      <c r="I50" s="251"/>
      <c r="J50" s="251"/>
      <c r="K50" s="251"/>
      <c r="L50" s="251"/>
      <c r="M50" s="251"/>
      <c r="N50" s="252"/>
      <c r="O50" s="176" t="s">
        <v>7</v>
      </c>
      <c r="P50" s="7"/>
    </row>
    <row r="51" spans="1:16" outlineLevel="1" x14ac:dyDescent="0.25">
      <c r="A51" s="19" t="s">
        <v>17</v>
      </c>
      <c r="B51" s="141" t="s">
        <v>1</v>
      </c>
      <c r="C51" s="167"/>
      <c r="D51" s="167"/>
      <c r="E51" s="167"/>
      <c r="F51" s="167"/>
      <c r="G51" s="167"/>
      <c r="H51" s="167"/>
      <c r="I51" s="158">
        <f>[7]Utilisation!$E$29</f>
        <v>6126977.8011148218</v>
      </c>
      <c r="J51" s="158">
        <f>[8]Utilisation!$E$29</f>
        <v>7107044.3210114408</v>
      </c>
      <c r="K51" s="158">
        <f>[9]Utilisation!$E$29</f>
        <v>7216442.1886426862</v>
      </c>
      <c r="L51" s="158">
        <f>[10]Utilisation!$E$29</f>
        <v>6581185.1703574117</v>
      </c>
      <c r="M51" s="158">
        <f>[11]Utilisation!$E$29</f>
        <v>9087107.6742895208</v>
      </c>
      <c r="N51" s="159">
        <f>[12]Utilisation!$E$29</f>
        <v>8322107.8691670075</v>
      </c>
      <c r="O51" s="175">
        <f>AVERAGE(I51:N51)</f>
        <v>7406810.8374304809</v>
      </c>
      <c r="P51" s="7"/>
    </row>
    <row r="52" spans="1:16" outlineLevel="1" x14ac:dyDescent="0.25">
      <c r="A52" s="19"/>
      <c r="B52" s="8">
        <v>500</v>
      </c>
      <c r="C52" s="167"/>
      <c r="D52" s="167"/>
      <c r="E52" s="167"/>
      <c r="F52" s="167"/>
      <c r="G52" s="167"/>
      <c r="H52" s="167"/>
      <c r="I52" s="158">
        <f>[7]Utilisation!$E$35</f>
        <v>593262</v>
      </c>
      <c r="J52" s="158">
        <f>[8]Utilisation!$E$35</f>
        <v>593262</v>
      </c>
      <c r="K52" s="158">
        <f>[9]Utilisation!$E$35</f>
        <v>593262</v>
      </c>
      <c r="L52" s="158">
        <f>[10]Utilisation!$E$35</f>
        <v>593262</v>
      </c>
      <c r="M52" s="158">
        <f>[11]Utilisation!$E$35</f>
        <v>2945065.2592908088</v>
      </c>
      <c r="N52" s="159">
        <f>[12]Utilisation!$E$35</f>
        <v>2689871.2</v>
      </c>
      <c r="O52" s="175">
        <f>AVERAGE(I52:N52)</f>
        <v>1334664.0765484681</v>
      </c>
      <c r="P52" s="7"/>
    </row>
    <row r="53" spans="1:16" outlineLevel="1" x14ac:dyDescent="0.25">
      <c r="A53" s="19"/>
      <c r="B53" s="8">
        <v>330</v>
      </c>
      <c r="C53" s="167"/>
      <c r="D53" s="167"/>
      <c r="E53" s="167"/>
      <c r="F53" s="167"/>
      <c r="G53" s="167"/>
      <c r="H53" s="167"/>
      <c r="I53" s="158">
        <f>[7]Utilisation!$E$44</f>
        <v>4875992.8295554956</v>
      </c>
      <c r="J53" s="158">
        <f>[8]Utilisation!$E$44</f>
        <v>5730111.8224032903</v>
      </c>
      <c r="K53" s="158">
        <f>[9]Utilisation!$E$44</f>
        <v>5820196.7963359933</v>
      </c>
      <c r="L53" s="158">
        <f>[10]Utilisation!$E$44</f>
        <v>5209935.5687218672</v>
      </c>
      <c r="M53" s="158">
        <f>[11]Utilisation!$E$44</f>
        <v>5295029.0902445177</v>
      </c>
      <c r="N53" s="159">
        <f>[12]Utilisation!$E$44</f>
        <v>4692780.8</v>
      </c>
      <c r="O53" s="175">
        <f>AVERAGE(I53:N53)</f>
        <v>5270674.4845435275</v>
      </c>
      <c r="P53" s="7"/>
    </row>
    <row r="54" spans="1:16" outlineLevel="1" x14ac:dyDescent="0.25">
      <c r="A54" s="19"/>
      <c r="B54" s="8">
        <v>275</v>
      </c>
      <c r="C54" s="167"/>
      <c r="D54" s="167"/>
      <c r="E54" s="167"/>
      <c r="F54" s="167"/>
      <c r="G54" s="167"/>
      <c r="H54" s="167"/>
      <c r="I54" s="158">
        <f>[7]Utilisation!$E$53</f>
        <v>0</v>
      </c>
      <c r="J54" s="158">
        <f>[8]Utilisation!$E$53</f>
        <v>0</v>
      </c>
      <c r="K54" s="158">
        <f>[9]Utilisation!$E$53</f>
        <v>0</v>
      </c>
      <c r="L54" s="158">
        <f>[10]Utilisation!$E$53</f>
        <v>0</v>
      </c>
      <c r="M54" s="158">
        <f>[11]Utilisation!$E$53</f>
        <v>0</v>
      </c>
      <c r="N54" s="159">
        <f>[12]Utilisation!$E$53</f>
        <v>0</v>
      </c>
      <c r="O54" s="175">
        <f t="shared" ref="O54:O58" si="2">AVERAGE(I54:N54)</f>
        <v>0</v>
      </c>
      <c r="P54" s="7"/>
    </row>
    <row r="55" spans="1:16" outlineLevel="1" x14ac:dyDescent="0.25">
      <c r="A55" s="19"/>
      <c r="B55" s="8">
        <v>220</v>
      </c>
      <c r="C55" s="167"/>
      <c r="D55" s="167"/>
      <c r="E55" s="167"/>
      <c r="F55" s="167"/>
      <c r="G55" s="167"/>
      <c r="H55" s="167"/>
      <c r="I55" s="158">
        <f>[7]Utilisation!$E$62</f>
        <v>133438.29999999999</v>
      </c>
      <c r="J55" s="158">
        <f>[8]Utilisation!$E$62</f>
        <v>133438.29999999999</v>
      </c>
      <c r="K55" s="158">
        <f>[9]Utilisation!$E$62</f>
        <v>133438.29999999999</v>
      </c>
      <c r="L55" s="158">
        <f>[10]Utilisation!$E$62</f>
        <v>133438.29999999999</v>
      </c>
      <c r="M55" s="158">
        <f>[11]Utilisation!$E$62</f>
        <v>133438.29999999999</v>
      </c>
      <c r="N55" s="159">
        <f>[12]Utilisation!$E$62</f>
        <v>133438.29999999999</v>
      </c>
      <c r="O55" s="175">
        <f t="shared" si="2"/>
        <v>133438.30000000002</v>
      </c>
      <c r="P55" s="7"/>
    </row>
    <row r="56" spans="1:16" outlineLevel="1" x14ac:dyDescent="0.25">
      <c r="A56" s="19"/>
      <c r="B56" s="8">
        <v>132</v>
      </c>
      <c r="C56" s="167"/>
      <c r="D56" s="167"/>
      <c r="E56" s="167"/>
      <c r="F56" s="167"/>
      <c r="G56" s="167"/>
      <c r="H56" s="167"/>
      <c r="I56" s="158">
        <f>[7]Utilisation!$E$71</f>
        <v>524284.67155932949</v>
      </c>
      <c r="J56" s="158">
        <f>[8]Utilisation!$E$71</f>
        <v>644109.66594497557</v>
      </c>
      <c r="K56" s="158">
        <f>[9]Utilisation!$E$71</f>
        <v>663422.55964351504</v>
      </c>
      <c r="L56" s="158">
        <f>[10]Utilisation!$E$71</f>
        <v>634250.60309839295</v>
      </c>
      <c r="M56" s="158">
        <f>[11]Utilisation!$E$71</f>
        <v>690929.07148692047</v>
      </c>
      <c r="N56" s="159">
        <f>[12]Utilisation!$E$71</f>
        <v>793868.83750739554</v>
      </c>
      <c r="O56" s="175">
        <f t="shared" si="2"/>
        <v>658477.56820675486</v>
      </c>
      <c r="P56" s="7"/>
    </row>
    <row r="57" spans="1:16" outlineLevel="1" x14ac:dyDescent="0.25">
      <c r="A57" s="19"/>
      <c r="B57" s="8">
        <v>110</v>
      </c>
      <c r="C57" s="167"/>
      <c r="D57" s="167"/>
      <c r="E57" s="167"/>
      <c r="F57" s="167"/>
      <c r="G57" s="167"/>
      <c r="H57" s="167"/>
      <c r="I57" s="158">
        <f>[7]Utilisation!$E$80</f>
        <v>0</v>
      </c>
      <c r="J57" s="158">
        <f>[8]Utilisation!$E$80</f>
        <v>0</v>
      </c>
      <c r="K57" s="158">
        <f>[9]Utilisation!$E$80</f>
        <v>0</v>
      </c>
      <c r="L57" s="158">
        <f>[10]Utilisation!$E$80</f>
        <v>0</v>
      </c>
      <c r="M57" s="158">
        <f>[11]Utilisation!$E$80</f>
        <v>0</v>
      </c>
      <c r="N57" s="159">
        <f>[12]Utilisation!$E$80</f>
        <v>0</v>
      </c>
      <c r="O57" s="175">
        <f t="shared" si="2"/>
        <v>0</v>
      </c>
      <c r="P57" s="7"/>
    </row>
    <row r="58" spans="1:16" ht="16.5" outlineLevel="1" thickBot="1" x14ac:dyDescent="0.3">
      <c r="A58" s="22"/>
      <c r="B58" s="81">
        <v>66</v>
      </c>
      <c r="C58" s="169"/>
      <c r="D58" s="169"/>
      <c r="E58" s="169"/>
      <c r="F58" s="169"/>
      <c r="G58" s="169"/>
      <c r="H58" s="169"/>
      <c r="I58" s="164">
        <f>[7]Utilisation!$E$89</f>
        <v>0</v>
      </c>
      <c r="J58" s="164">
        <f>[8]Utilisation!$E$89</f>
        <v>6122.5326631770131</v>
      </c>
      <c r="K58" s="164">
        <f>[9]Utilisation!$E$89</f>
        <v>6122.5326631770131</v>
      </c>
      <c r="L58" s="164">
        <f>[10]Utilisation!$E$89</f>
        <v>10298.698537151718</v>
      </c>
      <c r="M58" s="164">
        <f>[11]Utilisation!$E$89</f>
        <v>22645.953267277095</v>
      </c>
      <c r="N58" s="165">
        <f>[12]Utilisation!$E$89</f>
        <v>12148.731659615347</v>
      </c>
      <c r="O58" s="175">
        <f t="shared" si="2"/>
        <v>9556.408131733031</v>
      </c>
      <c r="P58" s="7"/>
    </row>
    <row r="59" spans="1:16" ht="21" outlineLevel="1" x14ac:dyDescent="0.35">
      <c r="A59" s="19"/>
      <c r="B59" s="8"/>
      <c r="C59" s="245" t="s">
        <v>84</v>
      </c>
      <c r="D59" s="245"/>
      <c r="E59" s="245"/>
      <c r="F59" s="245"/>
      <c r="G59" s="245"/>
      <c r="H59" s="245"/>
      <c r="I59" s="245"/>
      <c r="J59" s="245"/>
      <c r="K59" s="245"/>
      <c r="L59" s="245"/>
      <c r="M59" s="245"/>
      <c r="N59" s="246"/>
      <c r="O59" s="175"/>
      <c r="P59" s="7"/>
    </row>
    <row r="60" spans="1:16" outlineLevel="1" x14ac:dyDescent="0.25">
      <c r="A60" s="19"/>
      <c r="B60" s="8"/>
      <c r="C60" s="242" t="s">
        <v>85</v>
      </c>
      <c r="D60" s="242"/>
      <c r="E60" s="242"/>
      <c r="F60" s="242"/>
      <c r="G60" s="242"/>
      <c r="H60" s="242"/>
      <c r="I60" s="242"/>
      <c r="J60" s="242"/>
      <c r="K60" s="242"/>
      <c r="L60" s="242"/>
      <c r="M60" s="242"/>
      <c r="N60" s="243"/>
      <c r="O60" s="175"/>
      <c r="P60" s="7"/>
    </row>
    <row r="61" spans="1:16" outlineLevel="1" x14ac:dyDescent="0.25">
      <c r="A61" s="128" t="s">
        <v>6</v>
      </c>
      <c r="B61" s="144" t="s">
        <v>1</v>
      </c>
      <c r="C61" s="129">
        <f>C76</f>
        <v>0</v>
      </c>
      <c r="D61" s="167"/>
      <c r="E61" s="167"/>
      <c r="F61" s="167"/>
      <c r="G61" s="167"/>
      <c r="H61" s="167"/>
      <c r="I61" s="129">
        <f t="shared" ref="I61:N62" si="3">I76</f>
        <v>0.4846379003152933</v>
      </c>
      <c r="J61" s="129">
        <f t="shared" si="3"/>
        <v>0.46353278446713225</v>
      </c>
      <c r="K61" s="129">
        <f t="shared" si="3"/>
        <v>0.4843119545199896</v>
      </c>
      <c r="L61" s="129">
        <f t="shared" si="3"/>
        <v>0.43512170443845027</v>
      </c>
      <c r="M61" s="129">
        <f t="shared" si="3"/>
        <v>0.41717366492465452</v>
      </c>
      <c r="N61" s="133">
        <f t="shared" si="3"/>
        <v>0.3778093751521312</v>
      </c>
      <c r="O61" s="175"/>
      <c r="P61" s="7"/>
    </row>
    <row r="62" spans="1:16" outlineLevel="1" x14ac:dyDescent="0.25">
      <c r="A62" s="130"/>
      <c r="B62" s="145" t="s">
        <v>15</v>
      </c>
      <c r="C62" s="131">
        <f>C77</f>
        <v>0.48408347052780887</v>
      </c>
      <c r="D62" s="167"/>
      <c r="E62" s="167"/>
      <c r="F62" s="167"/>
      <c r="G62" s="167"/>
      <c r="H62" s="167"/>
      <c r="I62" s="131">
        <f t="shared" si="3"/>
        <v>0.4871777077039286</v>
      </c>
      <c r="J62" s="131">
        <f t="shared" si="3"/>
        <v>0.46978258282429169</v>
      </c>
      <c r="K62" s="131">
        <f t="shared" si="3"/>
        <v>0.49206729578475278</v>
      </c>
      <c r="L62" s="131">
        <f t="shared" si="3"/>
        <v>0.4418913391404824</v>
      </c>
      <c r="M62" s="131">
        <f t="shared" si="3"/>
        <v>0.43201586697363942</v>
      </c>
      <c r="N62" s="134">
        <f t="shared" si="3"/>
        <v>0.42221214834414972</v>
      </c>
      <c r="O62" s="175"/>
      <c r="P62" s="7"/>
    </row>
    <row r="63" spans="1:16" outlineLevel="1" x14ac:dyDescent="0.25">
      <c r="A63" s="114" t="s">
        <v>17</v>
      </c>
      <c r="B63" s="146" t="s">
        <v>1</v>
      </c>
      <c r="C63" s="127">
        <f>C79</f>
        <v>0.34457706287080037</v>
      </c>
      <c r="D63" s="169"/>
      <c r="E63" s="169"/>
      <c r="F63" s="169"/>
      <c r="G63" s="169"/>
      <c r="H63" s="169"/>
      <c r="I63" s="127">
        <f t="shared" ref="I63:N63" si="4">I79</f>
        <v>0.37927072102757264</v>
      </c>
      <c r="J63" s="127">
        <f t="shared" si="4"/>
        <v>0.30619422004680963</v>
      </c>
      <c r="K63" s="127">
        <f t="shared" si="4"/>
        <v>0.33149057800761744</v>
      </c>
      <c r="L63" s="127">
        <f t="shared" si="4"/>
        <v>0.33444484594740537</v>
      </c>
      <c r="M63" s="127">
        <f t="shared" si="4"/>
        <v>0.28279315835331581</v>
      </c>
      <c r="N63" s="135">
        <f t="shared" si="4"/>
        <v>0.30741096061057649</v>
      </c>
      <c r="O63" s="175"/>
      <c r="P63" s="7"/>
    </row>
    <row r="64" spans="1:16" outlineLevel="1" x14ac:dyDescent="0.25">
      <c r="A64" s="19"/>
      <c r="B64" s="8"/>
      <c r="C64" s="242" t="s">
        <v>86</v>
      </c>
      <c r="D64" s="242"/>
      <c r="E64" s="242"/>
      <c r="F64" s="242"/>
      <c r="G64" s="242"/>
      <c r="H64" s="242"/>
      <c r="I64" s="242"/>
      <c r="J64" s="242"/>
      <c r="K64" s="242"/>
      <c r="L64" s="242"/>
      <c r="M64" s="242"/>
      <c r="N64" s="243"/>
      <c r="O64" s="175"/>
      <c r="P64" s="7"/>
    </row>
    <row r="65" spans="1:16" outlineLevel="1" x14ac:dyDescent="0.25">
      <c r="A65" s="128" t="s">
        <v>6</v>
      </c>
      <c r="B65" s="144" t="s">
        <v>1</v>
      </c>
      <c r="C65" s="129">
        <f>C61*$C$104</f>
        <v>0</v>
      </c>
      <c r="D65" s="167"/>
      <c r="E65" s="167"/>
      <c r="F65" s="167"/>
      <c r="G65" s="167"/>
      <c r="H65" s="167"/>
      <c r="I65" s="129">
        <f t="shared" ref="I65:N66" si="5">I61*$C$104</f>
        <v>0.4248658926097405</v>
      </c>
      <c r="J65" s="129">
        <f t="shared" si="5"/>
        <v>0.40636374104951928</v>
      </c>
      <c r="K65" s="129">
        <f t="shared" si="5"/>
        <v>0.42458014679585754</v>
      </c>
      <c r="L65" s="129">
        <f t="shared" si="5"/>
        <v>0.38145669422437478</v>
      </c>
      <c r="M65" s="129">
        <f t="shared" si="5"/>
        <v>0.36572224625061384</v>
      </c>
      <c r="N65" s="133">
        <f t="shared" si="5"/>
        <v>0.33121288555003503</v>
      </c>
      <c r="O65" s="175"/>
      <c r="P65" s="7"/>
    </row>
    <row r="66" spans="1:16" outlineLevel="1" x14ac:dyDescent="0.25">
      <c r="A66" s="130"/>
      <c r="B66" s="145" t="s">
        <v>15</v>
      </c>
      <c r="C66" s="131">
        <f>C62*$C$104</f>
        <v>0.42437984249604577</v>
      </c>
      <c r="D66" s="167"/>
      <c r="E66" s="167"/>
      <c r="F66" s="167"/>
      <c r="G66" s="167"/>
      <c r="H66" s="167"/>
      <c r="I66" s="131">
        <f t="shared" si="5"/>
        <v>0.42709245708711074</v>
      </c>
      <c r="J66" s="131">
        <f t="shared" si="5"/>
        <v>0.41184273094262908</v>
      </c>
      <c r="K66" s="131">
        <f t="shared" si="5"/>
        <v>0.43137899597129997</v>
      </c>
      <c r="L66" s="131">
        <f t="shared" si="5"/>
        <v>0.38739140731315624</v>
      </c>
      <c r="M66" s="131">
        <f t="shared" si="5"/>
        <v>0.37873391004689055</v>
      </c>
      <c r="N66" s="134">
        <f t="shared" si="5"/>
        <v>0.37013931671503791</v>
      </c>
      <c r="O66" s="175"/>
      <c r="P66" s="7"/>
    </row>
    <row r="67" spans="1:16" ht="16.5" outlineLevel="1" thickBot="1" x14ac:dyDescent="0.3">
      <c r="A67" s="136" t="s">
        <v>17</v>
      </c>
      <c r="B67" s="147" t="s">
        <v>1</v>
      </c>
      <c r="C67" s="137">
        <f>C63*$D$104</f>
        <v>0.30207922511673502</v>
      </c>
      <c r="D67" s="174"/>
      <c r="E67" s="174"/>
      <c r="F67" s="174"/>
      <c r="G67" s="174"/>
      <c r="H67" s="174"/>
      <c r="I67" s="137">
        <f t="shared" ref="I67:N67" si="6">I63*$D$104</f>
        <v>0.33249399876750535</v>
      </c>
      <c r="J67" s="137">
        <f t="shared" si="6"/>
        <v>0.26843026624103644</v>
      </c>
      <c r="K67" s="137">
        <f t="shared" si="6"/>
        <v>0.29060674005334464</v>
      </c>
      <c r="L67" s="137">
        <f t="shared" si="6"/>
        <v>0.29319664828055869</v>
      </c>
      <c r="M67" s="137">
        <f t="shared" si="6"/>
        <v>0.24791533548974021</v>
      </c>
      <c r="N67" s="138">
        <f t="shared" si="6"/>
        <v>0.26949694213527209</v>
      </c>
      <c r="O67" s="175"/>
      <c r="P67" s="7"/>
    </row>
    <row r="68" spans="1:16" ht="16.5" thickBot="1" x14ac:dyDescent="0.3">
      <c r="O68" s="175"/>
      <c r="P68" s="7"/>
    </row>
    <row r="69" spans="1:16" ht="24" thickBot="1" x14ac:dyDescent="0.4">
      <c r="A69" s="54" t="s">
        <v>135</v>
      </c>
      <c r="B69" s="55"/>
      <c r="C69" s="55"/>
      <c r="D69" s="55"/>
      <c r="E69" s="55"/>
      <c r="F69" s="55"/>
      <c r="G69" s="55"/>
      <c r="H69" s="55"/>
      <c r="I69" s="55"/>
      <c r="J69" s="55"/>
      <c r="K69" s="55"/>
      <c r="L69" s="55"/>
      <c r="M69" s="55"/>
      <c r="N69" s="56"/>
      <c r="O69" s="175"/>
      <c r="P69" s="7"/>
    </row>
    <row r="70" spans="1:16" outlineLevel="1" x14ac:dyDescent="0.25">
      <c r="A70" s="20" t="s">
        <v>88</v>
      </c>
      <c r="B70" s="7"/>
      <c r="C70" s="7"/>
      <c r="D70" s="7"/>
      <c r="E70" s="7"/>
      <c r="F70" s="7"/>
      <c r="G70" s="7"/>
      <c r="H70" s="7"/>
      <c r="I70" s="7" t="s">
        <v>31</v>
      </c>
      <c r="J70" s="7"/>
      <c r="K70" s="7"/>
      <c r="L70" s="7" t="s">
        <v>30</v>
      </c>
      <c r="M70" s="7"/>
      <c r="N70" s="18"/>
      <c r="O70" s="175"/>
      <c r="P70" s="7"/>
    </row>
    <row r="71" spans="1:16" outlineLevel="1" x14ac:dyDescent="0.25">
      <c r="A71" s="20"/>
      <c r="B71" s="185" t="s">
        <v>80</v>
      </c>
      <c r="C71" s="21">
        <v>2000</v>
      </c>
      <c r="D71" s="21">
        <v>2001</v>
      </c>
      <c r="E71" s="21">
        <v>2002</v>
      </c>
      <c r="F71" s="21">
        <v>2003</v>
      </c>
      <c r="G71" s="21">
        <v>2004</v>
      </c>
      <c r="H71" s="21">
        <v>2005</v>
      </c>
      <c r="I71" s="21">
        <v>2006</v>
      </c>
      <c r="J71" s="21">
        <v>2007</v>
      </c>
      <c r="K71" s="21">
        <v>2008</v>
      </c>
      <c r="L71" s="21">
        <v>2009</v>
      </c>
      <c r="M71" s="21">
        <v>2010</v>
      </c>
      <c r="N71" s="195">
        <v>2011</v>
      </c>
    </row>
    <row r="72" spans="1:16" outlineLevel="1" x14ac:dyDescent="0.25">
      <c r="A72" s="19" t="s">
        <v>22</v>
      </c>
      <c r="B72" s="8" t="s">
        <v>14</v>
      </c>
      <c r="C72" s="48">
        <v>12062.631813921977</v>
      </c>
      <c r="D72" s="48">
        <v>11927</v>
      </c>
      <c r="E72" s="48">
        <v>12321</v>
      </c>
      <c r="F72" s="48">
        <v>12641</v>
      </c>
      <c r="G72" s="48">
        <v>13107</v>
      </c>
      <c r="H72" s="48">
        <v>13198</v>
      </c>
      <c r="I72" s="48">
        <v>13166</v>
      </c>
      <c r="J72" s="48">
        <v>13985</v>
      </c>
      <c r="K72" s="48">
        <v>14398</v>
      </c>
      <c r="L72" s="48">
        <v>14287</v>
      </c>
      <c r="M72" s="48">
        <v>13957</v>
      </c>
      <c r="N72" s="196">
        <v>14820</v>
      </c>
    </row>
    <row r="73" spans="1:16" outlineLevel="1" x14ac:dyDescent="0.25">
      <c r="A73" s="19" t="s">
        <v>23</v>
      </c>
      <c r="B73" s="8" t="s">
        <v>14</v>
      </c>
      <c r="C73" s="64">
        <f>C72</f>
        <v>12062.631813921977</v>
      </c>
      <c r="D73" s="64">
        <f>D72</f>
        <v>11927</v>
      </c>
      <c r="E73" s="48">
        <v>12600</v>
      </c>
      <c r="F73" s="48">
        <v>12700</v>
      </c>
      <c r="G73" s="48">
        <v>12900</v>
      </c>
      <c r="H73" s="48">
        <v>13100</v>
      </c>
      <c r="I73" s="48">
        <v>13300</v>
      </c>
      <c r="J73" s="48">
        <v>13300</v>
      </c>
      <c r="K73" s="48">
        <v>13700</v>
      </c>
      <c r="L73" s="48">
        <v>14000</v>
      </c>
      <c r="M73" s="48">
        <v>13900</v>
      </c>
      <c r="N73" s="196">
        <v>14100</v>
      </c>
    </row>
    <row r="74" spans="1:16" outlineLevel="1" x14ac:dyDescent="0.25">
      <c r="A74" s="182" t="s">
        <v>27</v>
      </c>
      <c r="B74" s="202" t="s">
        <v>94</v>
      </c>
      <c r="C74" s="183">
        <f>C73/C72</f>
        <v>1</v>
      </c>
      <c r="D74" s="183">
        <f t="shared" ref="D74:N74" si="7">D73/D72</f>
        <v>1</v>
      </c>
      <c r="E74" s="183">
        <f t="shared" si="7"/>
        <v>1.0226442658875092</v>
      </c>
      <c r="F74" s="183">
        <f t="shared" si="7"/>
        <v>1.0046673522664347</v>
      </c>
      <c r="G74" s="183">
        <f t="shared" si="7"/>
        <v>0.98420691233691915</v>
      </c>
      <c r="H74" s="183">
        <f t="shared" si="7"/>
        <v>0.99257463252007883</v>
      </c>
      <c r="I74" s="184">
        <f t="shared" si="7"/>
        <v>1.0101777305180009</v>
      </c>
      <c r="J74" s="184">
        <f t="shared" si="7"/>
        <v>0.95101894887379335</v>
      </c>
      <c r="K74" s="184">
        <f t="shared" si="7"/>
        <v>0.95152104458952635</v>
      </c>
      <c r="L74" s="184">
        <f t="shared" si="7"/>
        <v>0.97991180793728561</v>
      </c>
      <c r="M74" s="184">
        <f t="shared" si="7"/>
        <v>0.99591602779967037</v>
      </c>
      <c r="N74" s="197">
        <f t="shared" si="7"/>
        <v>0.95141700404858298</v>
      </c>
    </row>
    <row r="75" spans="1:16" outlineLevel="1" x14ac:dyDescent="0.25">
      <c r="A75" s="20"/>
      <c r="B75" s="186"/>
      <c r="C75" s="249" t="s">
        <v>89</v>
      </c>
      <c r="D75" s="249"/>
      <c r="E75" s="249"/>
      <c r="F75" s="249"/>
      <c r="G75" s="249"/>
      <c r="H75" s="249"/>
      <c r="I75" s="249"/>
      <c r="J75" s="249"/>
      <c r="K75" s="249"/>
      <c r="L75" s="249"/>
      <c r="M75" s="249"/>
      <c r="N75" s="250"/>
    </row>
    <row r="76" spans="1:16" outlineLevel="1" x14ac:dyDescent="0.25">
      <c r="A76" s="128" t="s">
        <v>6</v>
      </c>
      <c r="B76" s="187" t="s">
        <v>1</v>
      </c>
      <c r="C76" s="191"/>
      <c r="D76" s="191"/>
      <c r="E76" s="191"/>
      <c r="F76" s="191"/>
      <c r="G76" s="191"/>
      <c r="H76" s="191"/>
      <c r="I76" s="129">
        <f t="shared" ref="I76:N79" si="8">I6*I$74</f>
        <v>0.4846379003152933</v>
      </c>
      <c r="J76" s="129">
        <f t="shared" si="8"/>
        <v>0.46353278446713225</v>
      </c>
      <c r="K76" s="129">
        <f t="shared" si="8"/>
        <v>0.4843119545199896</v>
      </c>
      <c r="L76" s="129">
        <f t="shared" si="8"/>
        <v>0.43512170443845027</v>
      </c>
      <c r="M76" s="129">
        <f t="shared" si="8"/>
        <v>0.41717366492465452</v>
      </c>
      <c r="N76" s="133">
        <f t="shared" si="8"/>
        <v>0.3778093751521312</v>
      </c>
    </row>
    <row r="77" spans="1:16" outlineLevel="1" x14ac:dyDescent="0.25">
      <c r="A77" s="114"/>
      <c r="B77" s="188" t="s">
        <v>15</v>
      </c>
      <c r="C77" s="127">
        <f>C7*C$74</f>
        <v>0.48408347052780887</v>
      </c>
      <c r="D77" s="192"/>
      <c r="E77" s="192"/>
      <c r="F77" s="192"/>
      <c r="G77" s="192"/>
      <c r="H77" s="192"/>
      <c r="I77" s="127">
        <f t="shared" si="8"/>
        <v>0.4871777077039286</v>
      </c>
      <c r="J77" s="127">
        <f t="shared" si="8"/>
        <v>0.46978258282429169</v>
      </c>
      <c r="K77" s="127">
        <f t="shared" si="8"/>
        <v>0.49206729578475278</v>
      </c>
      <c r="L77" s="127">
        <f t="shared" si="8"/>
        <v>0.4418913391404824</v>
      </c>
      <c r="M77" s="127">
        <f t="shared" si="8"/>
        <v>0.43201586697363942</v>
      </c>
      <c r="N77" s="135">
        <f t="shared" si="8"/>
        <v>0.42221214834414972</v>
      </c>
    </row>
    <row r="78" spans="1:16" outlineLevel="1" x14ac:dyDescent="0.25">
      <c r="A78" s="130"/>
      <c r="B78" s="189" t="s">
        <v>18</v>
      </c>
      <c r="C78" s="193"/>
      <c r="D78" s="193"/>
      <c r="E78" s="193"/>
      <c r="F78" s="193"/>
      <c r="G78" s="193"/>
      <c r="H78" s="193"/>
      <c r="I78" s="131">
        <f t="shared" si="8"/>
        <v>0.37138788885603946</v>
      </c>
      <c r="J78" s="131">
        <f t="shared" si="8"/>
        <v>0.33495738735575276</v>
      </c>
      <c r="K78" s="131">
        <f t="shared" si="8"/>
        <v>0.34826024506666559</v>
      </c>
      <c r="L78" s="131">
        <f t="shared" si="8"/>
        <v>0.31239563157856171</v>
      </c>
      <c r="M78" s="131">
        <f t="shared" si="8"/>
        <v>0.22132708854741653</v>
      </c>
      <c r="N78" s="134">
        <f t="shared" si="8"/>
        <v>8.4647731454054992E-2</v>
      </c>
    </row>
    <row r="79" spans="1:16" outlineLevel="1" x14ac:dyDescent="0.25">
      <c r="A79" s="114" t="s">
        <v>17</v>
      </c>
      <c r="B79" s="188" t="s">
        <v>1</v>
      </c>
      <c r="C79" s="127">
        <f>C9*C$74</f>
        <v>0.34457706287080037</v>
      </c>
      <c r="D79" s="192"/>
      <c r="E79" s="192"/>
      <c r="F79" s="192"/>
      <c r="G79" s="192"/>
      <c r="H79" s="192"/>
      <c r="I79" s="127">
        <f t="shared" si="8"/>
        <v>0.37927072102757264</v>
      </c>
      <c r="J79" s="127">
        <f t="shared" si="8"/>
        <v>0.30619422004680963</v>
      </c>
      <c r="K79" s="127">
        <f t="shared" si="8"/>
        <v>0.33149057800761744</v>
      </c>
      <c r="L79" s="127">
        <f t="shared" si="8"/>
        <v>0.33444484594740537</v>
      </c>
      <c r="M79" s="127">
        <f t="shared" si="8"/>
        <v>0.28279315835331581</v>
      </c>
      <c r="N79" s="135">
        <f t="shared" si="8"/>
        <v>0.30741096061057649</v>
      </c>
    </row>
    <row r="80" spans="1:16" outlineLevel="1" x14ac:dyDescent="0.25">
      <c r="A80" s="65"/>
      <c r="B80" s="190"/>
      <c r="C80" s="181"/>
      <c r="D80" s="180"/>
      <c r="E80" s="180"/>
      <c r="F80" s="180"/>
      <c r="G80" s="180"/>
      <c r="H80" s="180"/>
      <c r="I80" s="181"/>
      <c r="J80" s="181"/>
      <c r="K80" s="181"/>
      <c r="L80" s="181"/>
      <c r="M80" s="181"/>
      <c r="N80" s="198"/>
    </row>
    <row r="81" spans="1:14" outlineLevel="1" x14ac:dyDescent="0.25">
      <c r="A81" s="20" t="s">
        <v>112</v>
      </c>
      <c r="B81" s="7"/>
      <c r="C81" s="51"/>
      <c r="D81" s="7"/>
      <c r="E81" s="7"/>
      <c r="F81" s="7"/>
      <c r="G81" s="7"/>
      <c r="H81" s="7"/>
      <c r="I81" s="7"/>
      <c r="J81" s="7"/>
      <c r="K81" s="7"/>
      <c r="L81" s="7"/>
      <c r="M81" s="7"/>
      <c r="N81" s="18"/>
    </row>
    <row r="82" spans="1:14" outlineLevel="1" x14ac:dyDescent="0.25">
      <c r="A82" s="209"/>
      <c r="B82" s="167"/>
      <c r="C82" s="210"/>
      <c r="D82" s="167"/>
      <c r="E82" s="167"/>
      <c r="F82" s="167"/>
      <c r="G82" s="167"/>
      <c r="H82" s="167"/>
      <c r="I82" s="167"/>
      <c r="J82" s="167"/>
      <c r="K82" s="167"/>
      <c r="L82" s="167"/>
      <c r="M82" s="167"/>
      <c r="N82" s="208"/>
    </row>
    <row r="83" spans="1:14" outlineLevel="1" x14ac:dyDescent="0.25">
      <c r="A83" s="209"/>
      <c r="B83" s="167"/>
      <c r="C83" s="210"/>
      <c r="D83" s="167"/>
      <c r="E83" s="167"/>
      <c r="F83" s="167"/>
      <c r="G83" s="167"/>
      <c r="H83" s="167"/>
      <c r="I83" s="167"/>
      <c r="J83" s="167"/>
      <c r="K83" s="167"/>
      <c r="L83" s="167"/>
      <c r="M83" s="167"/>
      <c r="N83" s="208"/>
    </row>
    <row r="84" spans="1:14" outlineLevel="1" x14ac:dyDescent="0.25">
      <c r="A84" s="209"/>
      <c r="B84" s="167"/>
      <c r="C84" s="210"/>
      <c r="D84" s="167"/>
      <c r="E84" s="167"/>
      <c r="F84" s="167"/>
      <c r="G84" s="167"/>
      <c r="H84" s="167"/>
      <c r="I84" s="167"/>
      <c r="J84" s="167"/>
      <c r="K84" s="167"/>
      <c r="L84" s="167"/>
      <c r="M84" s="167"/>
      <c r="N84" s="208"/>
    </row>
    <row r="85" spans="1:14" outlineLevel="1" x14ac:dyDescent="0.25">
      <c r="A85" s="209"/>
      <c r="B85" s="167"/>
      <c r="C85" s="210"/>
      <c r="D85" s="167"/>
      <c r="E85" s="167"/>
      <c r="F85" s="167"/>
      <c r="G85" s="167"/>
      <c r="H85" s="167"/>
      <c r="I85" s="167"/>
      <c r="J85" s="167"/>
      <c r="K85" s="167"/>
      <c r="L85" s="167"/>
      <c r="M85" s="167"/>
      <c r="N85" s="208"/>
    </row>
    <row r="86" spans="1:14" outlineLevel="1" x14ac:dyDescent="0.25">
      <c r="A86" s="209"/>
      <c r="B86" s="167"/>
      <c r="C86" s="210"/>
      <c r="D86" s="167"/>
      <c r="E86" s="167"/>
      <c r="F86" s="167"/>
      <c r="G86" s="167"/>
      <c r="H86" s="167"/>
      <c r="I86" s="167"/>
      <c r="J86" s="167"/>
      <c r="K86" s="167"/>
      <c r="L86" s="167"/>
      <c r="M86" s="167"/>
      <c r="N86" s="208"/>
    </row>
    <row r="87" spans="1:14" outlineLevel="1" x14ac:dyDescent="0.25">
      <c r="A87" s="211"/>
      <c r="B87" s="169"/>
      <c r="C87" s="212"/>
      <c r="D87" s="169"/>
      <c r="E87" s="169"/>
      <c r="F87" s="169"/>
      <c r="G87" s="169"/>
      <c r="H87" s="169"/>
      <c r="I87" s="169"/>
      <c r="J87" s="169"/>
      <c r="K87" s="169"/>
      <c r="L87" s="169"/>
      <c r="M87" s="169"/>
      <c r="N87" s="213"/>
    </row>
    <row r="88" spans="1:14" outlineLevel="1" x14ac:dyDescent="0.25">
      <c r="A88" s="20" t="s">
        <v>95</v>
      </c>
      <c r="B88" s="7"/>
      <c r="C88" s="51"/>
      <c r="D88" s="7"/>
      <c r="E88" s="7"/>
      <c r="F88" s="7"/>
      <c r="G88" s="7"/>
      <c r="H88" s="7"/>
      <c r="I88" s="7"/>
      <c r="J88" s="7"/>
      <c r="K88" s="7"/>
      <c r="L88" s="7"/>
      <c r="M88" s="7"/>
      <c r="N88" s="18"/>
    </row>
    <row r="89" spans="1:14" outlineLevel="1" x14ac:dyDescent="0.25">
      <c r="A89" s="20"/>
      <c r="B89" s="7" t="s">
        <v>28</v>
      </c>
      <c r="C89" s="50">
        <f>C73/I73</f>
        <v>0.90696479803924634</v>
      </c>
      <c r="D89" s="7"/>
      <c r="E89" s="7"/>
      <c r="F89" s="7"/>
      <c r="G89" s="7"/>
      <c r="H89" s="7"/>
      <c r="I89" s="7"/>
      <c r="J89" s="7"/>
      <c r="K89" s="7"/>
      <c r="L89" s="7"/>
      <c r="M89" s="7"/>
      <c r="N89" s="18"/>
    </row>
    <row r="90" spans="1:14" outlineLevel="1" x14ac:dyDescent="0.25">
      <c r="A90" s="19"/>
      <c r="B90" s="7"/>
      <c r="C90" s="7"/>
      <c r="D90" s="7"/>
      <c r="E90" s="7"/>
      <c r="F90" s="7"/>
      <c r="G90" s="7"/>
      <c r="H90" s="7"/>
      <c r="I90" s="7"/>
      <c r="J90" s="7"/>
      <c r="K90" s="7"/>
      <c r="L90" s="7"/>
      <c r="M90" s="7"/>
      <c r="N90" s="18"/>
    </row>
    <row r="91" spans="1:14" outlineLevel="1" x14ac:dyDescent="0.25">
      <c r="A91" s="20"/>
      <c r="B91" s="121" t="s">
        <v>29</v>
      </c>
      <c r="C91" s="121" t="s">
        <v>8</v>
      </c>
      <c r="D91" s="7" t="s">
        <v>97</v>
      </c>
      <c r="E91" s="7"/>
      <c r="F91" s="7"/>
      <c r="G91" s="7"/>
      <c r="H91" s="7"/>
      <c r="I91" s="7"/>
      <c r="J91" s="7"/>
      <c r="K91" s="7"/>
      <c r="L91" s="7"/>
      <c r="M91" s="7"/>
      <c r="N91" s="18"/>
    </row>
    <row r="92" spans="1:14" outlineLevel="1" x14ac:dyDescent="0.25">
      <c r="A92" s="20" t="s">
        <v>100</v>
      </c>
      <c r="B92" s="126" t="s">
        <v>113</v>
      </c>
      <c r="C92" s="62">
        <v>2150</v>
      </c>
      <c r="D92" s="52">
        <f>(I31-C92)/I31</f>
        <v>0.90356582193316892</v>
      </c>
      <c r="E92" s="7"/>
      <c r="F92" s="7"/>
      <c r="G92" s="7"/>
      <c r="H92" s="7"/>
      <c r="I92" s="7"/>
      <c r="J92" s="7"/>
      <c r="K92" s="7"/>
      <c r="L92" s="7"/>
      <c r="M92" s="7"/>
      <c r="N92" s="18"/>
    </row>
    <row r="93" spans="1:14" outlineLevel="1" x14ac:dyDescent="0.25">
      <c r="A93" s="19"/>
      <c r="B93" s="126" t="s">
        <v>11</v>
      </c>
      <c r="C93" s="62">
        <v>1175</v>
      </c>
      <c r="D93" s="10">
        <f>(I33-C93)/I33</f>
        <v>0.98822444705009871</v>
      </c>
      <c r="E93" s="7"/>
      <c r="F93" s="7"/>
      <c r="G93" s="7"/>
      <c r="H93" s="7"/>
      <c r="I93" s="7"/>
      <c r="J93" s="7"/>
      <c r="K93" s="7"/>
      <c r="L93" s="7"/>
      <c r="M93" s="7"/>
      <c r="N93" s="18"/>
    </row>
    <row r="94" spans="1:14" outlineLevel="1" x14ac:dyDescent="0.25">
      <c r="A94" s="19"/>
      <c r="B94" s="7"/>
      <c r="C94" s="7"/>
      <c r="D94" s="7"/>
      <c r="E94" s="7"/>
      <c r="F94" s="7"/>
      <c r="G94" s="7"/>
      <c r="H94" s="7"/>
      <c r="I94" s="7"/>
      <c r="J94" s="7"/>
      <c r="K94" s="7"/>
      <c r="L94" s="7"/>
      <c r="M94" s="7"/>
      <c r="N94" s="18"/>
    </row>
    <row r="95" spans="1:14" outlineLevel="1" x14ac:dyDescent="0.25">
      <c r="A95" s="19"/>
      <c r="B95" s="62" t="s">
        <v>98</v>
      </c>
      <c r="C95" s="7"/>
      <c r="D95" s="7"/>
      <c r="E95" s="7"/>
      <c r="F95" s="7"/>
      <c r="G95" s="7"/>
      <c r="H95" s="7"/>
      <c r="I95" s="7"/>
      <c r="J95" s="7"/>
      <c r="K95" s="7"/>
      <c r="L95" s="7"/>
      <c r="M95" s="7"/>
      <c r="N95" s="18"/>
    </row>
    <row r="96" spans="1:14" outlineLevel="1" x14ac:dyDescent="0.25">
      <c r="A96" s="19"/>
      <c r="B96" s="126" t="s">
        <v>96</v>
      </c>
      <c r="C96" s="127">
        <f>I7*C89/D92</f>
        <v>0.48408347052780887</v>
      </c>
      <c r="D96" s="7"/>
      <c r="E96" s="7"/>
      <c r="F96" s="7"/>
      <c r="G96" s="7"/>
      <c r="H96" s="7"/>
      <c r="I96" s="7"/>
      <c r="J96" s="7"/>
      <c r="K96" s="7"/>
      <c r="L96" s="7"/>
      <c r="M96" s="7"/>
      <c r="N96" s="18"/>
    </row>
    <row r="97" spans="1:14" outlineLevel="1" x14ac:dyDescent="0.25">
      <c r="A97" s="19"/>
      <c r="B97" s="126" t="s">
        <v>11</v>
      </c>
      <c r="C97" s="63">
        <f>I9*C89/D93</f>
        <v>0.34457706287080037</v>
      </c>
      <c r="D97" s="7"/>
      <c r="E97" s="7"/>
      <c r="F97" s="7"/>
      <c r="G97" s="7"/>
      <c r="H97" s="7"/>
      <c r="I97" s="7"/>
      <c r="J97" s="7"/>
      <c r="K97" s="7"/>
      <c r="L97" s="7"/>
      <c r="M97" s="7"/>
      <c r="N97" s="18"/>
    </row>
    <row r="98" spans="1:14" outlineLevel="1" x14ac:dyDescent="0.25">
      <c r="A98" s="25"/>
      <c r="B98" s="14"/>
      <c r="C98" s="14"/>
      <c r="D98" s="14"/>
      <c r="E98" s="14"/>
      <c r="F98" s="14"/>
      <c r="G98" s="14"/>
      <c r="H98" s="14"/>
      <c r="I98" s="14"/>
      <c r="J98" s="14"/>
      <c r="K98" s="14"/>
      <c r="L98" s="14"/>
      <c r="M98" s="14"/>
      <c r="N98" s="26"/>
    </row>
    <row r="99" spans="1:14" outlineLevel="1" x14ac:dyDescent="0.25">
      <c r="A99" s="20" t="s">
        <v>55</v>
      </c>
      <c r="B99" s="7"/>
      <c r="C99" s="7"/>
      <c r="D99" s="7"/>
      <c r="E99" s="7"/>
      <c r="F99" s="7"/>
      <c r="G99" s="7"/>
      <c r="H99" s="7"/>
      <c r="I99" s="7"/>
      <c r="J99" s="7"/>
      <c r="K99" s="7"/>
      <c r="L99" s="7"/>
      <c r="M99" s="7"/>
      <c r="N99" s="18"/>
    </row>
    <row r="100" spans="1:14" outlineLevel="1" x14ac:dyDescent="0.25">
      <c r="A100" s="65" t="s">
        <v>57</v>
      </c>
      <c r="B100" s="66" t="s">
        <v>58</v>
      </c>
      <c r="C100" s="14" t="s">
        <v>37</v>
      </c>
      <c r="D100" s="14" t="s">
        <v>38</v>
      </c>
      <c r="E100" s="7"/>
      <c r="F100" s="7"/>
      <c r="G100" s="7"/>
      <c r="H100" s="7"/>
      <c r="I100" s="7"/>
      <c r="J100" s="7"/>
      <c r="K100" s="7"/>
      <c r="L100" s="7"/>
      <c r="M100" s="7"/>
      <c r="N100" s="18"/>
    </row>
    <row r="101" spans="1:14" outlineLevel="1" x14ac:dyDescent="0.25">
      <c r="A101" s="19" t="s">
        <v>34</v>
      </c>
      <c r="B101" s="46">
        <v>1</v>
      </c>
      <c r="C101" s="7">
        <v>1</v>
      </c>
      <c r="D101" s="7">
        <v>1</v>
      </c>
      <c r="E101" s="7"/>
      <c r="F101" s="7"/>
      <c r="G101" s="7"/>
      <c r="H101" s="7"/>
      <c r="I101" s="7"/>
      <c r="J101" s="7"/>
      <c r="K101" s="7"/>
      <c r="L101" s="7"/>
      <c r="M101" s="7"/>
      <c r="N101" s="18"/>
    </row>
    <row r="102" spans="1:14" outlineLevel="1" x14ac:dyDescent="0.25">
      <c r="A102" s="19" t="s">
        <v>35</v>
      </c>
      <c r="B102" s="46">
        <f>(1-L109/100)</f>
        <v>0.87666666666666671</v>
      </c>
      <c r="C102" s="7">
        <v>1</v>
      </c>
      <c r="D102" s="7">
        <v>1</v>
      </c>
      <c r="E102" s="7"/>
      <c r="F102" s="7"/>
      <c r="G102" s="7"/>
      <c r="H102" s="7"/>
      <c r="I102" s="7"/>
      <c r="J102" s="7"/>
      <c r="K102" s="7"/>
      <c r="L102" s="7"/>
      <c r="M102" s="7"/>
      <c r="N102" s="18"/>
    </row>
    <row r="103" spans="1:14" outlineLevel="1" x14ac:dyDescent="0.25">
      <c r="A103" s="19" t="s">
        <v>36</v>
      </c>
      <c r="B103" s="46">
        <v>1</v>
      </c>
      <c r="C103" s="7"/>
      <c r="D103" s="7">
        <v>1</v>
      </c>
      <c r="E103" s="7"/>
      <c r="F103" s="7"/>
      <c r="G103" s="7"/>
      <c r="H103" s="7"/>
      <c r="I103" s="7"/>
      <c r="J103" s="7"/>
      <c r="K103" s="7"/>
      <c r="L103" s="7"/>
      <c r="M103" s="7"/>
      <c r="N103" s="18"/>
    </row>
    <row r="104" spans="1:14" ht="16.5" outlineLevel="1" thickBot="1" x14ac:dyDescent="0.3">
      <c r="A104" s="203" t="s">
        <v>59</v>
      </c>
      <c r="B104" s="204"/>
      <c r="C104" s="67">
        <f>IF(C101=1,B101,1)*IF(C102=1,B102,1)</f>
        <v>0.87666666666666671</v>
      </c>
      <c r="D104" s="67">
        <f>IF(D101=1,B101,1)*IF(D102=1,B102,1)*IF(D103=1,B103,1)</f>
        <v>0.87666666666666671</v>
      </c>
      <c r="E104" s="7"/>
      <c r="F104" s="7"/>
      <c r="G104" s="7"/>
      <c r="H104" s="7"/>
      <c r="I104" s="7"/>
      <c r="J104" s="7"/>
      <c r="K104" s="7"/>
      <c r="L104" s="7"/>
      <c r="M104" s="7"/>
      <c r="N104" s="18"/>
    </row>
    <row r="105" spans="1:14" ht="16.5" outlineLevel="1" thickTop="1" x14ac:dyDescent="0.25">
      <c r="A105" s="19"/>
      <c r="B105" s="21"/>
      <c r="C105" s="7"/>
      <c r="D105" s="7"/>
      <c r="E105" s="7"/>
      <c r="F105" s="7"/>
      <c r="G105" s="7"/>
      <c r="H105" s="7"/>
      <c r="I105" s="7"/>
      <c r="J105" s="7"/>
      <c r="K105" s="7"/>
      <c r="L105" s="7"/>
      <c r="M105" s="7"/>
      <c r="N105" s="18"/>
    </row>
    <row r="106" spans="1:14" outlineLevel="1" x14ac:dyDescent="0.25">
      <c r="A106" s="19"/>
      <c r="B106" s="21"/>
      <c r="C106" s="7"/>
      <c r="D106" s="7"/>
      <c r="E106" s="7"/>
      <c r="F106" s="7"/>
      <c r="G106" s="7"/>
      <c r="H106" s="7"/>
      <c r="I106" s="7"/>
      <c r="J106" s="7"/>
      <c r="K106" s="7"/>
      <c r="L106" s="7"/>
      <c r="M106" s="7"/>
      <c r="N106" s="18"/>
    </row>
    <row r="107" spans="1:14" outlineLevel="1" x14ac:dyDescent="0.25">
      <c r="A107" s="20" t="s">
        <v>111</v>
      </c>
      <c r="B107" s="7"/>
      <c r="C107" s="7"/>
      <c r="D107" s="125"/>
      <c r="E107" s="244" t="s">
        <v>49</v>
      </c>
      <c r="F107" s="244"/>
      <c r="G107" s="244"/>
      <c r="H107" s="244"/>
      <c r="I107" s="244"/>
      <c r="J107" s="244"/>
      <c r="K107" s="244"/>
      <c r="L107" s="7"/>
      <c r="M107" s="7"/>
      <c r="N107" s="18"/>
    </row>
    <row r="108" spans="1:14" outlineLevel="1" x14ac:dyDescent="0.25">
      <c r="A108" s="57"/>
      <c r="B108" s="7"/>
      <c r="C108" s="7"/>
      <c r="D108" s="121" t="s">
        <v>107</v>
      </c>
      <c r="E108" s="7">
        <v>1999</v>
      </c>
      <c r="F108" s="7" t="s">
        <v>20</v>
      </c>
      <c r="G108" s="7" t="s">
        <v>24</v>
      </c>
      <c r="H108" s="7" t="s">
        <v>25</v>
      </c>
      <c r="I108" s="7" t="s">
        <v>26</v>
      </c>
      <c r="J108" s="7" t="s">
        <v>10</v>
      </c>
      <c r="K108" s="7" t="s">
        <v>21</v>
      </c>
      <c r="L108" s="7" t="s">
        <v>7</v>
      </c>
      <c r="M108" s="7"/>
      <c r="N108" s="18"/>
    </row>
    <row r="109" spans="1:14" outlineLevel="1" x14ac:dyDescent="0.25">
      <c r="A109" s="20"/>
      <c r="B109" s="7"/>
      <c r="C109" s="7"/>
      <c r="D109" s="121" t="s">
        <v>104</v>
      </c>
      <c r="E109" s="7">
        <v>11</v>
      </c>
      <c r="F109" s="7">
        <v>9</v>
      </c>
      <c r="G109" s="7">
        <v>10</v>
      </c>
      <c r="H109" s="7">
        <v>13</v>
      </c>
      <c r="I109" s="7">
        <v>12</v>
      </c>
      <c r="J109">
        <f t="shared" ref="J109" si="9">(I109+K109)/2</f>
        <v>14</v>
      </c>
      <c r="K109" s="7">
        <v>16</v>
      </c>
      <c r="L109" s="9">
        <f t="shared" ref="L109" si="10">AVERAGE(F109:K109)</f>
        <v>12.333333333333334</v>
      </c>
      <c r="M109" s="7"/>
      <c r="N109" s="18"/>
    </row>
    <row r="110" spans="1:14" outlineLevel="1" x14ac:dyDescent="0.25">
      <c r="A110" s="19"/>
      <c r="B110" s="7"/>
      <c r="C110" s="7"/>
      <c r="D110" s="7"/>
      <c r="E110" s="7"/>
      <c r="F110" s="7"/>
      <c r="G110" s="7"/>
      <c r="H110" s="7"/>
      <c r="I110" s="7"/>
      <c r="J110" s="7"/>
      <c r="K110" s="7"/>
      <c r="L110" s="7"/>
      <c r="M110" s="7"/>
      <c r="N110" s="18"/>
    </row>
    <row r="111" spans="1:14" outlineLevel="1" x14ac:dyDescent="0.25">
      <c r="A111" s="20" t="s">
        <v>102</v>
      </c>
      <c r="B111" s="7"/>
      <c r="C111" s="7"/>
      <c r="D111" s="7"/>
      <c r="E111" s="7"/>
      <c r="F111" s="7"/>
      <c r="G111" s="7"/>
      <c r="H111" s="7"/>
      <c r="I111" s="7"/>
      <c r="J111" s="7"/>
      <c r="K111" s="7"/>
      <c r="L111" s="7"/>
      <c r="M111" s="7"/>
      <c r="N111" s="18"/>
    </row>
    <row r="112" spans="1:14" outlineLevel="1" x14ac:dyDescent="0.25">
      <c r="A112" s="19"/>
      <c r="B112" s="126" t="s">
        <v>108</v>
      </c>
      <c r="C112" s="7">
        <v>2000</v>
      </c>
      <c r="D112" s="7">
        <v>2001</v>
      </c>
      <c r="E112" s="7">
        <v>2002</v>
      </c>
      <c r="F112" s="7">
        <v>2003</v>
      </c>
      <c r="G112" s="7">
        <v>2004</v>
      </c>
      <c r="H112" s="7">
        <v>2005</v>
      </c>
      <c r="I112" s="7">
        <v>2006</v>
      </c>
      <c r="J112" s="7">
        <v>2007</v>
      </c>
      <c r="K112" s="7">
        <v>2008</v>
      </c>
      <c r="L112" s="7">
        <v>2009</v>
      </c>
      <c r="M112" s="7">
        <v>2010</v>
      </c>
      <c r="N112" s="18">
        <v>2011</v>
      </c>
    </row>
    <row r="113" spans="1:14" outlineLevel="1" x14ac:dyDescent="0.25">
      <c r="A113" s="19"/>
      <c r="B113" s="121" t="s">
        <v>9</v>
      </c>
      <c r="C113" s="7">
        <v>0</v>
      </c>
      <c r="D113" s="7">
        <v>11572</v>
      </c>
      <c r="E113" s="7">
        <v>10990</v>
      </c>
      <c r="F113" s="7">
        <v>12456</v>
      </c>
      <c r="G113" s="7">
        <v>12216</v>
      </c>
      <c r="H113" s="7">
        <v>12946</v>
      </c>
      <c r="I113" s="7">
        <v>13462</v>
      </c>
      <c r="J113" s="7">
        <v>12981</v>
      </c>
      <c r="K113" s="7">
        <v>13071</v>
      </c>
      <c r="L113" s="7">
        <v>14288</v>
      </c>
      <c r="M113" s="7">
        <v>14051</v>
      </c>
      <c r="N113" s="18">
        <v>13767</v>
      </c>
    </row>
    <row r="114" spans="1:14" outlineLevel="1" x14ac:dyDescent="0.25">
      <c r="A114" s="19"/>
      <c r="B114" s="121" t="s">
        <v>101</v>
      </c>
      <c r="C114" s="167"/>
      <c r="D114" s="167"/>
      <c r="E114" s="167"/>
      <c r="F114" s="167"/>
      <c r="G114" s="7">
        <v>13109</v>
      </c>
      <c r="H114" s="7">
        <v>13148</v>
      </c>
      <c r="I114" s="7">
        <v>13301</v>
      </c>
      <c r="J114" s="7">
        <v>13310</v>
      </c>
      <c r="K114" s="7">
        <v>13327</v>
      </c>
      <c r="L114" s="7">
        <v>13330</v>
      </c>
      <c r="M114" s="167"/>
      <c r="N114" s="208"/>
    </row>
    <row r="115" spans="1:14" outlineLevel="1" x14ac:dyDescent="0.25">
      <c r="A115" s="19"/>
      <c r="B115" s="121" t="s">
        <v>105</v>
      </c>
      <c r="C115" s="167"/>
      <c r="D115" s="167"/>
      <c r="E115" s="167"/>
      <c r="F115" s="167"/>
      <c r="G115" s="16">
        <f t="shared" ref="G115:L115" si="11">G113/G114</f>
        <v>0.93187886185063695</v>
      </c>
      <c r="H115" s="16">
        <f t="shared" si="11"/>
        <v>0.9846364466078491</v>
      </c>
      <c r="I115" s="16">
        <f t="shared" si="11"/>
        <v>1.0121043530561611</v>
      </c>
      <c r="J115" s="16">
        <f t="shared" si="11"/>
        <v>0.9752817430503381</v>
      </c>
      <c r="K115" s="16">
        <f t="shared" si="11"/>
        <v>0.98079087566594136</v>
      </c>
      <c r="L115" s="16">
        <f t="shared" si="11"/>
        <v>1.0718679669917479</v>
      </c>
      <c r="M115" s="167"/>
      <c r="N115" s="208"/>
    </row>
    <row r="116" spans="1:14" outlineLevel="1" x14ac:dyDescent="0.25">
      <c r="A116" s="19"/>
      <c r="B116" s="7"/>
      <c r="C116" s="7"/>
      <c r="D116" s="7"/>
      <c r="E116" s="7"/>
      <c r="F116" s="7"/>
      <c r="G116" s="7"/>
      <c r="H116" s="7"/>
      <c r="I116" s="7"/>
      <c r="J116" s="7"/>
      <c r="K116" s="7"/>
      <c r="L116" s="7"/>
      <c r="M116" s="7"/>
      <c r="N116" s="18"/>
    </row>
    <row r="117" spans="1:14" outlineLevel="1" x14ac:dyDescent="0.25">
      <c r="A117" s="19" t="s">
        <v>109</v>
      </c>
      <c r="B117" s="7"/>
      <c r="C117" s="7"/>
      <c r="D117" s="16">
        <f>SUM(H113:L113)/SUM(H114:L114)</f>
        <v>1.0049987954709709</v>
      </c>
      <c r="E117" s="7" t="s">
        <v>106</v>
      </c>
      <c r="F117" s="7"/>
      <c r="G117" s="7"/>
      <c r="H117" s="7"/>
      <c r="I117" s="7"/>
      <c r="J117" s="7"/>
      <c r="K117" s="7"/>
      <c r="L117" s="7"/>
      <c r="M117" s="7"/>
      <c r="N117" s="18"/>
    </row>
    <row r="118" spans="1:14" ht="16.5" outlineLevel="1" thickBot="1" x14ac:dyDescent="0.3">
      <c r="A118" s="22"/>
      <c r="B118" s="23"/>
      <c r="C118" s="23"/>
      <c r="D118" s="23"/>
      <c r="E118" s="23"/>
      <c r="F118" s="23"/>
      <c r="G118" s="23"/>
      <c r="H118" s="23"/>
      <c r="I118" s="23"/>
      <c r="J118" s="23"/>
      <c r="K118" s="23"/>
      <c r="L118" s="23"/>
      <c r="M118" s="23"/>
      <c r="N118" s="24"/>
    </row>
  </sheetData>
  <mergeCells count="12">
    <mergeCell ref="O8:P8"/>
    <mergeCell ref="C59:N59"/>
    <mergeCell ref="C60:N60"/>
    <mergeCell ref="C64:N64"/>
    <mergeCell ref="C75:N75"/>
    <mergeCell ref="E107:K107"/>
    <mergeCell ref="C4:N4"/>
    <mergeCell ref="C5:N5"/>
    <mergeCell ref="C17:N17"/>
    <mergeCell ref="C29:N29"/>
    <mergeCell ref="C41:N41"/>
    <mergeCell ref="C50:N50"/>
  </mergeCells>
  <pageMargins left="0.75" right="0.75" top="1" bottom="1" header="0.5" footer="0.5"/>
  <pageSetup paperSize="9" orientation="portrait" horizontalDpi="4294967292" verticalDpi="4294967292"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tabColor theme="3" tint="0.59999389629810485"/>
  </sheetPr>
  <dimension ref="A1:V118"/>
  <sheetViews>
    <sheetView zoomScale="80" zoomScaleNormal="80" workbookViewId="0">
      <selection activeCell="T104" sqref="T104"/>
    </sheetView>
  </sheetViews>
  <sheetFormatPr defaultColWidth="11" defaultRowHeight="15.75" outlineLevelRow="1" x14ac:dyDescent="0.25"/>
  <cols>
    <col min="1" max="1" width="16.875" customWidth="1"/>
    <col min="2" max="2" width="26" customWidth="1"/>
    <col min="9" max="9" width="11" customWidth="1"/>
  </cols>
  <sheetData>
    <row r="1" spans="1:16" ht="24" thickBot="1" x14ac:dyDescent="0.4">
      <c r="A1" s="205" t="s">
        <v>5</v>
      </c>
      <c r="B1" s="206" t="s">
        <v>103</v>
      </c>
      <c r="C1" s="59"/>
      <c r="D1" s="59"/>
      <c r="E1" s="59"/>
      <c r="F1" s="59"/>
      <c r="G1" s="59"/>
      <c r="H1" s="59"/>
      <c r="I1" s="59"/>
      <c r="J1" s="59"/>
      <c r="K1" s="59"/>
      <c r="L1" s="59"/>
      <c r="M1" s="59"/>
      <c r="N1" s="59"/>
      <c r="O1" s="59"/>
      <c r="P1" s="124"/>
    </row>
    <row r="2" spans="1:16" ht="24" thickBot="1" x14ac:dyDescent="0.4">
      <c r="A2" s="54" t="s">
        <v>50</v>
      </c>
      <c r="B2" s="55"/>
      <c r="C2" s="55"/>
      <c r="D2" s="55"/>
      <c r="E2" s="55"/>
      <c r="F2" s="55"/>
      <c r="G2" s="55"/>
      <c r="H2" s="55"/>
      <c r="I2" s="55"/>
      <c r="J2" s="55"/>
      <c r="K2" s="55"/>
      <c r="L2" s="55"/>
      <c r="M2" s="55"/>
      <c r="N2" s="56"/>
      <c r="O2" s="15"/>
      <c r="P2" s="15"/>
    </row>
    <row r="3" spans="1:16" ht="19.5" outlineLevel="1" thickBot="1" x14ac:dyDescent="0.35">
      <c r="A3" s="20" t="s">
        <v>110</v>
      </c>
      <c r="B3" s="77" t="s">
        <v>79</v>
      </c>
      <c r="C3" s="124">
        <v>2000</v>
      </c>
      <c r="D3" s="124">
        <v>2001</v>
      </c>
      <c r="E3" s="124">
        <v>2002</v>
      </c>
      <c r="F3" s="124">
        <v>2003</v>
      </c>
      <c r="G3" s="124">
        <v>2004</v>
      </c>
      <c r="H3" s="124">
        <v>2005</v>
      </c>
      <c r="I3" s="124">
        <v>2006</v>
      </c>
      <c r="J3" s="124">
        <v>2007</v>
      </c>
      <c r="K3" s="124">
        <v>2008</v>
      </c>
      <c r="L3" s="124">
        <v>2009</v>
      </c>
      <c r="M3" s="124">
        <v>2010</v>
      </c>
      <c r="N3" s="132">
        <v>2011</v>
      </c>
      <c r="O3" s="15"/>
      <c r="P3" s="15"/>
    </row>
    <row r="4" spans="1:16" ht="21" outlineLevel="1" x14ac:dyDescent="0.35">
      <c r="A4" s="72"/>
      <c r="B4" s="86"/>
      <c r="C4" s="240" t="s">
        <v>78</v>
      </c>
      <c r="D4" s="240"/>
      <c r="E4" s="240"/>
      <c r="F4" s="240"/>
      <c r="G4" s="240"/>
      <c r="H4" s="240"/>
      <c r="I4" s="240"/>
      <c r="J4" s="240"/>
      <c r="K4" s="240"/>
      <c r="L4" s="240"/>
      <c r="M4" s="240"/>
      <c r="N4" s="241"/>
      <c r="O4" s="7"/>
      <c r="P4" s="7"/>
    </row>
    <row r="5" spans="1:16" outlineLevel="1" x14ac:dyDescent="0.25">
      <c r="A5" s="58"/>
      <c r="B5" s="139"/>
      <c r="C5" s="238" t="s">
        <v>76</v>
      </c>
      <c r="D5" s="238"/>
      <c r="E5" s="238"/>
      <c r="F5" s="238"/>
      <c r="G5" s="238"/>
      <c r="H5" s="238"/>
      <c r="I5" s="238"/>
      <c r="J5" s="238"/>
      <c r="K5" s="238"/>
      <c r="L5" s="238"/>
      <c r="M5" s="238"/>
      <c r="N5" s="239"/>
      <c r="O5" s="7"/>
      <c r="P5" s="7"/>
    </row>
    <row r="6" spans="1:16" outlineLevel="1" x14ac:dyDescent="0.25">
      <c r="A6" s="122" t="s">
        <v>6</v>
      </c>
      <c r="B6" s="140" t="s">
        <v>1</v>
      </c>
      <c r="C6" s="166"/>
      <c r="D6" s="166"/>
      <c r="E6" s="166"/>
      <c r="F6" s="166"/>
      <c r="G6" s="166"/>
      <c r="H6" s="166"/>
      <c r="I6" s="148">
        <f>[13]Utilisation!$F$19</f>
        <v>0.44833479189518322</v>
      </c>
      <c r="J6" s="148">
        <f>[14]Utilisation!$F$19</f>
        <v>0.42948139654495371</v>
      </c>
      <c r="K6" s="148">
        <f>[15]Utilisation!$F$19</f>
        <v>0.37632912823100223</v>
      </c>
      <c r="L6" s="148">
        <f>[16]Utilisation!$F$19</f>
        <v>0.37371992498004164</v>
      </c>
      <c r="M6" s="148">
        <f>[17]Utilisation!$F$19</f>
        <v>0.36296960365672348</v>
      </c>
      <c r="N6" s="149">
        <f>[18]Utilisation!$F$19</f>
        <v>0.37097479329123501</v>
      </c>
      <c r="O6" s="7"/>
      <c r="P6" s="7"/>
    </row>
    <row r="7" spans="1:16" ht="16.5" outlineLevel="1" thickBot="1" x14ac:dyDescent="0.3">
      <c r="A7" s="19"/>
      <c r="B7" s="141" t="s">
        <v>15</v>
      </c>
      <c r="C7" s="170">
        <f>C96</f>
        <v>0.49851903016352955</v>
      </c>
      <c r="D7" s="167"/>
      <c r="E7" s="167"/>
      <c r="F7" s="167"/>
      <c r="G7" s="167"/>
      <c r="H7" s="167"/>
      <c r="I7" s="150">
        <f>[13]Utilisation!$F$108</f>
        <v>0.45136877317134649</v>
      </c>
      <c r="J7" s="150">
        <f>[14]Utilisation!$F$108</f>
        <v>0.43162557844641647</v>
      </c>
      <c r="K7" s="150">
        <f>[15]Utilisation!$F$108</f>
        <v>0.38593420098430842</v>
      </c>
      <c r="L7" s="150">
        <f>[16]Utilisation!$F$108</f>
        <v>0.38183897611809015</v>
      </c>
      <c r="M7" s="150">
        <f>[17]Utilisation!$F$108</f>
        <v>0.36807367580108263</v>
      </c>
      <c r="N7" s="151">
        <f>[18]Utilisation!$F$108</f>
        <v>0.38144490417761096</v>
      </c>
      <c r="O7" s="7"/>
      <c r="P7" s="7"/>
    </row>
    <row r="8" spans="1:16" outlineLevel="1" x14ac:dyDescent="0.25">
      <c r="A8" s="123"/>
      <c r="B8" s="142" t="s">
        <v>16</v>
      </c>
      <c r="C8" s="168"/>
      <c r="D8" s="168"/>
      <c r="E8" s="168"/>
      <c r="F8" s="168"/>
      <c r="G8" s="168"/>
      <c r="H8" s="168"/>
      <c r="I8" s="152">
        <f>[13]Utilisation!$F$115</f>
        <v>0.43800759958296298</v>
      </c>
      <c r="J8" s="152">
        <f>[14]Utilisation!$F$115</f>
        <v>0.42240031546389639</v>
      </c>
      <c r="K8" s="152">
        <f>[15]Utilisation!$F$115</f>
        <v>0.3417341957718541</v>
      </c>
      <c r="L8" s="152">
        <f>[16]Utilisation!$F$115</f>
        <v>0.34474022502535062</v>
      </c>
      <c r="M8" s="152">
        <f>[17]Utilisation!$F$115</f>
        <v>0.34475140589252318</v>
      </c>
      <c r="N8" s="153">
        <f>[18]Utilisation!$F$115</f>
        <v>0.33016854142095137</v>
      </c>
      <c r="O8" s="247" t="s">
        <v>51</v>
      </c>
      <c r="P8" s="248"/>
    </row>
    <row r="9" spans="1:16" outlineLevel="1" x14ac:dyDescent="0.25">
      <c r="A9" s="19" t="s">
        <v>17</v>
      </c>
      <c r="B9" s="141" t="s">
        <v>1</v>
      </c>
      <c r="C9" s="170">
        <f>C97</f>
        <v>0.30600848225107685</v>
      </c>
      <c r="D9" s="167"/>
      <c r="E9" s="167"/>
      <c r="F9" s="167"/>
      <c r="G9" s="167"/>
      <c r="H9" s="167"/>
      <c r="I9" s="150">
        <f>[13]Utilisation!$F$22</f>
        <v>0.36575623184515316</v>
      </c>
      <c r="J9" s="150">
        <f>[14]Utilisation!$F$22</f>
        <v>0.35498737025770716</v>
      </c>
      <c r="K9" s="150">
        <f>[15]Utilisation!$F$22</f>
        <v>0.28079739380506263</v>
      </c>
      <c r="L9" s="150">
        <f>[16]Utilisation!$F$22</f>
        <v>0.2824545347274266</v>
      </c>
      <c r="M9" s="150">
        <f>[17]Utilisation!$F$22</f>
        <v>0.2855765245400021</v>
      </c>
      <c r="N9" s="151">
        <f>[18]Utilisation!$F$22</f>
        <v>0.27150125497270294</v>
      </c>
      <c r="O9" s="177" t="s">
        <v>7</v>
      </c>
      <c r="P9" s="178" t="s">
        <v>87</v>
      </c>
    </row>
    <row r="10" spans="1:16" outlineLevel="1" x14ac:dyDescent="0.25">
      <c r="A10" s="19"/>
      <c r="B10" s="8">
        <v>500</v>
      </c>
      <c r="C10" s="167"/>
      <c r="D10" s="167"/>
      <c r="E10" s="167"/>
      <c r="F10" s="167"/>
      <c r="G10" s="167"/>
      <c r="H10" s="167"/>
      <c r="I10" s="150"/>
      <c r="J10" s="150"/>
      <c r="K10" s="150"/>
      <c r="L10" s="150"/>
      <c r="M10" s="150"/>
      <c r="N10" s="151"/>
      <c r="O10" s="171"/>
      <c r="P10" s="47">
        <f>O52/O$51</f>
        <v>0</v>
      </c>
    </row>
    <row r="11" spans="1:16" outlineLevel="1" x14ac:dyDescent="0.25">
      <c r="A11" s="19"/>
      <c r="B11" s="8">
        <v>330</v>
      </c>
      <c r="C11" s="167"/>
      <c r="D11" s="167"/>
      <c r="E11" s="167"/>
      <c r="F11" s="167"/>
      <c r="G11" s="167"/>
      <c r="H11" s="167"/>
      <c r="I11" s="150">
        <f>[13]Utilisation!$F$43</f>
        <v>0.13777344922110901</v>
      </c>
      <c r="J11" s="150">
        <f>[14]Utilisation!$F$43</f>
        <v>0.1952258475487415</v>
      </c>
      <c r="K11" s="150">
        <f>[15]Utilisation!$F$43</f>
        <v>0.23058819811220768</v>
      </c>
      <c r="L11" s="150">
        <f>[16]Utilisation!$F$43</f>
        <v>0.32444054541250239</v>
      </c>
      <c r="M11" s="150">
        <f>[17]Utilisation!$F$43</f>
        <v>0.31976764265797403</v>
      </c>
      <c r="N11" s="151">
        <f>[18]Utilisation!$F$43</f>
        <v>0.40735064604279975</v>
      </c>
      <c r="O11" s="171">
        <f>AVERAGE(I11:N11)</f>
        <v>0.26919105483255573</v>
      </c>
      <c r="P11" s="47">
        <f t="shared" ref="P11:P16" si="0">O53/O$51</f>
        <v>7.7459548986795371E-2</v>
      </c>
    </row>
    <row r="12" spans="1:16" outlineLevel="1" x14ac:dyDescent="0.25">
      <c r="A12" s="19"/>
      <c r="B12" s="8">
        <v>275</v>
      </c>
      <c r="C12" s="167"/>
      <c r="D12" s="167"/>
      <c r="E12" s="167"/>
      <c r="F12" s="167"/>
      <c r="G12" s="167"/>
      <c r="H12" s="167"/>
      <c r="I12" s="150">
        <f>[13]Utilisation!$F$52</f>
        <v>0.3893100263845764</v>
      </c>
      <c r="J12" s="150">
        <f>[14]Utilisation!$F$52</f>
        <v>0.37683008589322814</v>
      </c>
      <c r="K12" s="150">
        <f>[15]Utilisation!$F$52</f>
        <v>0.28718577344489565</v>
      </c>
      <c r="L12" s="150">
        <f>[16]Utilisation!$F$52</f>
        <v>0.28130096106764901</v>
      </c>
      <c r="M12" s="150">
        <f>[17]Utilisation!$F$52</f>
        <v>0.28179922800397778</v>
      </c>
      <c r="N12" s="151">
        <f>[18]Utilisation!$F$52</f>
        <v>0.26323384781718667</v>
      </c>
      <c r="O12" s="171">
        <f t="shared" ref="O12:O15" si="1">AVERAGE(I12:N12)</f>
        <v>0.3132766537685856</v>
      </c>
      <c r="P12" s="47">
        <f t="shared" si="0"/>
        <v>0.80129986990041868</v>
      </c>
    </row>
    <row r="13" spans="1:16" outlineLevel="1" x14ac:dyDescent="0.25">
      <c r="A13" s="19"/>
      <c r="B13" s="8">
        <v>220</v>
      </c>
      <c r="C13" s="167"/>
      <c r="D13" s="167"/>
      <c r="E13" s="167"/>
      <c r="F13" s="167"/>
      <c r="G13" s="167"/>
      <c r="H13" s="167"/>
      <c r="I13" s="150"/>
      <c r="J13" s="150"/>
      <c r="K13" s="150"/>
      <c r="L13" s="150"/>
      <c r="M13" s="150"/>
      <c r="N13" s="151"/>
      <c r="O13" s="171"/>
      <c r="P13" s="47">
        <f t="shared" si="0"/>
        <v>0</v>
      </c>
    </row>
    <row r="14" spans="1:16" outlineLevel="1" x14ac:dyDescent="0.25">
      <c r="A14" s="19"/>
      <c r="B14" s="8">
        <v>132</v>
      </c>
      <c r="C14" s="167"/>
      <c r="D14" s="167"/>
      <c r="E14" s="167"/>
      <c r="F14" s="167"/>
      <c r="G14" s="167"/>
      <c r="H14" s="167"/>
      <c r="I14" s="150">
        <f>[13]Utilisation!$F$70</f>
        <v>0.34629216818664216</v>
      </c>
      <c r="J14" s="150">
        <f>[14]Utilisation!$F$70</f>
        <v>0.31532163939276509</v>
      </c>
      <c r="K14" s="150">
        <f>[15]Utilisation!$F$70</f>
        <v>0.26559409500685766</v>
      </c>
      <c r="L14" s="150">
        <f>[16]Utilisation!$F$70</f>
        <v>0.25593780651675452</v>
      </c>
      <c r="M14" s="150">
        <f>[17]Utilisation!$F$70</f>
        <v>0.28230434133128629</v>
      </c>
      <c r="N14" s="151">
        <f>[18]Utilisation!$F$70</f>
        <v>0.22717379679379268</v>
      </c>
      <c r="O14" s="171">
        <f t="shared" si="1"/>
        <v>0.28210397453801644</v>
      </c>
      <c r="P14" s="47">
        <f t="shared" si="0"/>
        <v>0.10227352057707148</v>
      </c>
    </row>
    <row r="15" spans="1:16" outlineLevel="1" x14ac:dyDescent="0.25">
      <c r="A15" s="19"/>
      <c r="B15" s="8">
        <v>110</v>
      </c>
      <c r="C15" s="167"/>
      <c r="D15" s="167"/>
      <c r="E15" s="167"/>
      <c r="F15" s="167"/>
      <c r="G15" s="167"/>
      <c r="H15" s="167"/>
      <c r="I15" s="150">
        <f>[13]Utilisation!$F$79</f>
        <v>0.39888753019634721</v>
      </c>
      <c r="J15" s="150">
        <f>[14]Utilisation!$F$79</f>
        <v>0.28228322796196081</v>
      </c>
      <c r="K15" s="150">
        <f>[15]Utilisation!$F$79</f>
        <v>0.3085436865983972</v>
      </c>
      <c r="L15" s="150">
        <f>[16]Utilisation!$F$79</f>
        <v>0.30280753794191323</v>
      </c>
      <c r="M15" s="150">
        <f>[17]Utilisation!$F$79</f>
        <v>0.32119322583413468</v>
      </c>
      <c r="N15" s="151">
        <f>[18]Utilisation!$F$79</f>
        <v>0.30514558948938236</v>
      </c>
      <c r="O15" s="171">
        <f t="shared" si="1"/>
        <v>0.31981013300368927</v>
      </c>
      <c r="P15" s="47">
        <f t="shared" si="0"/>
        <v>1.8967060535714293E-2</v>
      </c>
    </row>
    <row r="16" spans="1:16" ht="16.5" outlineLevel="1" thickBot="1" x14ac:dyDescent="0.3">
      <c r="A16" s="25"/>
      <c r="B16" s="79">
        <v>66</v>
      </c>
      <c r="C16" s="169"/>
      <c r="D16" s="169"/>
      <c r="E16" s="169"/>
      <c r="F16" s="169"/>
      <c r="G16" s="169"/>
      <c r="H16" s="169"/>
      <c r="I16" s="154"/>
      <c r="J16" s="154"/>
      <c r="K16" s="154"/>
      <c r="L16" s="154"/>
      <c r="M16" s="154"/>
      <c r="N16" s="155"/>
      <c r="O16" s="172"/>
      <c r="P16" s="173">
        <f t="shared" si="0"/>
        <v>0</v>
      </c>
    </row>
    <row r="17" spans="1:22" outlineLevel="1" x14ac:dyDescent="0.25">
      <c r="A17" s="57"/>
      <c r="B17" s="139"/>
      <c r="C17" s="238" t="s">
        <v>77</v>
      </c>
      <c r="D17" s="238"/>
      <c r="E17" s="238"/>
      <c r="F17" s="238"/>
      <c r="G17" s="238"/>
      <c r="H17" s="238"/>
      <c r="I17" s="238"/>
      <c r="J17" s="238"/>
      <c r="K17" s="238"/>
      <c r="L17" s="238"/>
      <c r="M17" s="238"/>
      <c r="N17" s="239"/>
      <c r="O17" s="7"/>
      <c r="P17" s="7"/>
    </row>
    <row r="18" spans="1:22" outlineLevel="1" x14ac:dyDescent="0.25">
      <c r="A18" s="122" t="s">
        <v>6</v>
      </c>
      <c r="B18" s="140" t="s">
        <v>1</v>
      </c>
      <c r="C18" s="166"/>
      <c r="D18" s="166"/>
      <c r="E18" s="166"/>
      <c r="F18" s="166"/>
      <c r="G18" s="166"/>
      <c r="H18" s="166"/>
      <c r="I18" s="156">
        <f>[13]Utilisation!$F$25</f>
        <v>8736.7000896614354</v>
      </c>
      <c r="J18" s="156">
        <f>[14]Utilisation!$F$25</f>
        <v>9078.3777601672318</v>
      </c>
      <c r="K18" s="156">
        <f>[15]Utilisation!$F$25</f>
        <v>9379.2508629012682</v>
      </c>
      <c r="L18" s="156">
        <f>[16]Utilisation!$F$25</f>
        <v>9603.8546321371105</v>
      </c>
      <c r="M18" s="156">
        <f>[17]Utilisation!$F$25</f>
        <v>9327.5928747704802</v>
      </c>
      <c r="N18" s="157">
        <f>[18]Utilisation!$F$25</f>
        <v>10217.758731620486</v>
      </c>
      <c r="O18" s="7"/>
      <c r="P18" s="7"/>
    </row>
    <row r="19" spans="1:22" outlineLevel="1" x14ac:dyDescent="0.25">
      <c r="A19" s="19"/>
      <c r="B19" s="141" t="s">
        <v>15</v>
      </c>
      <c r="C19" s="167"/>
      <c r="D19" s="167"/>
      <c r="E19" s="167"/>
      <c r="F19" s="167"/>
      <c r="G19" s="167"/>
      <c r="H19" s="167"/>
      <c r="I19" s="158">
        <f>[13]Utilisation!$F$111</f>
        <v>6798.5164615068206</v>
      </c>
      <c r="J19" s="158">
        <f>[14]Utilisation!$F$111</f>
        <v>7003.1250102931072</v>
      </c>
      <c r="K19" s="158">
        <f>[15]Utilisation!$F$111</f>
        <v>7528.4184586009042</v>
      </c>
      <c r="L19" s="158">
        <f>[16]Utilisation!$F$111</f>
        <v>7665.0356065945416</v>
      </c>
      <c r="M19" s="158">
        <f>[17]Utilisation!$F$111</f>
        <v>7388.7109680309331</v>
      </c>
      <c r="N19" s="159">
        <f>[18]Utilisation!$F$111</f>
        <v>8360.8908546690545</v>
      </c>
      <c r="O19" s="7"/>
      <c r="P19" s="7"/>
    </row>
    <row r="20" spans="1:22" outlineLevel="1" x14ac:dyDescent="0.25">
      <c r="A20" s="123"/>
      <c r="B20" s="142" t="s">
        <v>16</v>
      </c>
      <c r="C20" s="168"/>
      <c r="D20" s="168"/>
      <c r="E20" s="168"/>
      <c r="F20" s="168"/>
      <c r="G20" s="168"/>
      <c r="H20" s="168"/>
      <c r="I20" s="160">
        <f>[13]Utilisation!$F$118</f>
        <v>1938.1836281546111</v>
      </c>
      <c r="J20" s="160">
        <f>[14]Utilisation!$F$118</f>
        <v>2075.2527498741229</v>
      </c>
      <c r="K20" s="160">
        <f>[15]Utilisation!$F$118</f>
        <v>1850.8324043003618</v>
      </c>
      <c r="L20" s="160">
        <f>[16]Utilisation!$F$118</f>
        <v>1938.819025542572</v>
      </c>
      <c r="M20" s="160">
        <f>[17]Utilisation!$F$118</f>
        <v>1938.8819067395502</v>
      </c>
      <c r="N20" s="161">
        <f>[18]Utilisation!$F$118</f>
        <v>1856.8678769514304</v>
      </c>
      <c r="O20" s="7"/>
      <c r="P20" s="7"/>
    </row>
    <row r="21" spans="1:22" outlineLevel="1" x14ac:dyDescent="0.25">
      <c r="A21" s="19" t="s">
        <v>17</v>
      </c>
      <c r="B21" s="141" t="s">
        <v>1</v>
      </c>
      <c r="C21" s="167"/>
      <c r="D21" s="167"/>
      <c r="E21" s="167"/>
      <c r="F21" s="167"/>
      <c r="G21" s="167"/>
      <c r="H21" s="167"/>
      <c r="I21" s="158">
        <f>[13]Utilisation!$F$27</f>
        <v>29911.012582202598</v>
      </c>
      <c r="J21" s="158">
        <f>[14]Utilisation!$F$27</f>
        <v>31847.863169751075</v>
      </c>
      <c r="K21" s="158">
        <f>[15]Utilisation!$F$27</f>
        <v>29795.228820029512</v>
      </c>
      <c r="L21" s="158">
        <f>[16]Utilisation!$F$27</f>
        <v>31531.058889664142</v>
      </c>
      <c r="M21" s="158">
        <f>[17]Utilisation!$F$27</f>
        <v>32292.23375828797</v>
      </c>
      <c r="N21" s="159">
        <f>[18]Utilisation!$F$27</f>
        <v>32561.001390966438</v>
      </c>
      <c r="O21" s="7"/>
      <c r="P21" s="7"/>
    </row>
    <row r="22" spans="1:22" outlineLevel="1" x14ac:dyDescent="0.25">
      <c r="A22" s="19"/>
      <c r="B22" s="8">
        <v>500</v>
      </c>
      <c r="C22" s="167"/>
      <c r="D22" s="167"/>
      <c r="E22" s="167"/>
      <c r="F22" s="167"/>
      <c r="G22" s="167"/>
      <c r="H22" s="167"/>
      <c r="I22" s="158">
        <f>[13]Utilisation!$F$37</f>
        <v>0</v>
      </c>
      <c r="J22" s="158">
        <f>[14]Utilisation!$F$37</f>
        <v>0</v>
      </c>
      <c r="K22" s="158">
        <f>[15]Utilisation!$F$37</f>
        <v>0</v>
      </c>
      <c r="L22" s="158">
        <f>[16]Utilisation!$F$37</f>
        <v>0</v>
      </c>
      <c r="M22" s="158">
        <f>[17]Utilisation!$F$37</f>
        <v>0</v>
      </c>
      <c r="N22" s="159">
        <f>[18]Utilisation!$F$37</f>
        <v>0</v>
      </c>
      <c r="O22" s="7"/>
      <c r="P22" s="7"/>
    </row>
    <row r="23" spans="1:22" outlineLevel="1" x14ac:dyDescent="0.25">
      <c r="A23" s="19"/>
      <c r="B23" s="8">
        <v>330</v>
      </c>
      <c r="C23" s="167"/>
      <c r="D23" s="167"/>
      <c r="E23" s="167"/>
      <c r="F23" s="167"/>
      <c r="G23" s="167"/>
      <c r="H23" s="167"/>
      <c r="I23" s="158">
        <f>[13]Utilisation!$F$46</f>
        <v>1382.2522881255204</v>
      </c>
      <c r="J23" s="158">
        <f>[14]Utilisation!$F$46</f>
        <v>1848.7072689201245</v>
      </c>
      <c r="K23" s="158">
        <f>[15]Utilisation!$F$46</f>
        <v>2479.2928908301224</v>
      </c>
      <c r="L23" s="158">
        <f>[16]Utilisation!$F$46</f>
        <v>3024.0688471888898</v>
      </c>
      <c r="M23" s="158">
        <f>[17]Utilisation!$F$46</f>
        <v>2829.6997955195234</v>
      </c>
      <c r="N23" s="159">
        <f>[18]Utilisation!$F$46</f>
        <v>3364.2043830985617</v>
      </c>
      <c r="O23" s="7"/>
      <c r="P23" s="7"/>
    </row>
    <row r="24" spans="1:22" outlineLevel="1" x14ac:dyDescent="0.25">
      <c r="A24" s="19"/>
      <c r="B24" s="8">
        <v>275</v>
      </c>
      <c r="C24" s="167"/>
      <c r="D24" s="167"/>
      <c r="E24" s="167"/>
      <c r="F24" s="167"/>
      <c r="G24" s="167"/>
      <c r="H24" s="167"/>
      <c r="I24" s="158">
        <f>[13]Utilisation!$F$55</f>
        <v>19038.221868195156</v>
      </c>
      <c r="J24" s="158">
        <f>[14]Utilisation!$F$55</f>
        <v>21008.561485073435</v>
      </c>
      <c r="K24" s="158">
        <f>[15]Utilisation!$F$55</f>
        <v>19202.306014137263</v>
      </c>
      <c r="L24" s="158">
        <f>[16]Utilisation!$F$55</f>
        <v>19770.858167650618</v>
      </c>
      <c r="M24" s="158">
        <f>[17]Utilisation!$F$55</f>
        <v>19707.411236167794</v>
      </c>
      <c r="N24" s="159">
        <f>[18]Utilisation!$F$55</f>
        <v>19398.39130406026</v>
      </c>
      <c r="O24" s="7"/>
      <c r="P24" s="7"/>
    </row>
    <row r="25" spans="1:22" outlineLevel="1" x14ac:dyDescent="0.25">
      <c r="A25" s="19"/>
      <c r="B25" s="8">
        <v>220</v>
      </c>
      <c r="C25" s="167"/>
      <c r="D25" s="167"/>
      <c r="E25" s="167"/>
      <c r="F25" s="167"/>
      <c r="G25" s="167"/>
      <c r="H25" s="167"/>
      <c r="I25" s="158">
        <f>[13]Utilisation!$F$64</f>
        <v>0</v>
      </c>
      <c r="J25" s="158">
        <f>[14]Utilisation!$F$64</f>
        <v>0</v>
      </c>
      <c r="K25" s="158">
        <f>[15]Utilisation!$F$64</f>
        <v>0</v>
      </c>
      <c r="L25" s="158">
        <f>[16]Utilisation!$F$64</f>
        <v>0</v>
      </c>
      <c r="M25" s="158">
        <f>[17]Utilisation!$F$64</f>
        <v>0</v>
      </c>
      <c r="N25" s="159">
        <f>[18]Utilisation!$F$64</f>
        <v>0</v>
      </c>
      <c r="O25" s="7"/>
      <c r="P25" s="7"/>
    </row>
    <row r="26" spans="1:22" outlineLevel="1" x14ac:dyDescent="0.25">
      <c r="A26" s="19"/>
      <c r="B26" s="8">
        <v>132</v>
      </c>
      <c r="C26" s="167"/>
      <c r="D26" s="167"/>
      <c r="E26" s="167"/>
      <c r="F26" s="167"/>
      <c r="G26" s="167"/>
      <c r="H26" s="167"/>
      <c r="I26" s="158">
        <f>[13]Utilisation!$F$73</f>
        <v>5106.0500443060755</v>
      </c>
      <c r="J26" s="158">
        <f>[14]Utilisation!$F$73</f>
        <v>5091.7176554591506</v>
      </c>
      <c r="K26" s="158">
        <f>[15]Utilisation!$F$73</f>
        <v>4519.587204896442</v>
      </c>
      <c r="L26" s="158">
        <f>[16]Utilisation!$F$73</f>
        <v>4809.15566139762</v>
      </c>
      <c r="M26" s="158">
        <f>[17]Utilisation!$F$73</f>
        <v>5377.0568341628741</v>
      </c>
      <c r="N26" s="159">
        <f>[18]Utilisation!$F$73</f>
        <v>4714.7582209924576</v>
      </c>
      <c r="O26" s="7"/>
      <c r="P26" s="7"/>
    </row>
    <row r="27" spans="1:22" outlineLevel="1" x14ac:dyDescent="0.25">
      <c r="A27" s="19"/>
      <c r="B27" s="8">
        <v>110</v>
      </c>
      <c r="C27" s="167"/>
      <c r="D27" s="167"/>
      <c r="E27" s="167"/>
      <c r="F27" s="167"/>
      <c r="G27" s="167"/>
      <c r="H27" s="167"/>
      <c r="I27" s="158">
        <f>[13]Utilisation!$F$82</f>
        <v>4384.4883815758594</v>
      </c>
      <c r="J27" s="158">
        <f>[14]Utilisation!$F$82</f>
        <v>3898.8767602983512</v>
      </c>
      <c r="K27" s="158">
        <f>[15]Utilisation!$F$82</f>
        <v>3594.0427101656978</v>
      </c>
      <c r="L27" s="158">
        <f>[16]Utilisation!$F$82</f>
        <v>3926.9762134270204</v>
      </c>
      <c r="M27" s="158">
        <f>[17]Utilisation!$F$82</f>
        <v>4378.0658924377658</v>
      </c>
      <c r="N27" s="159">
        <f>[18]Utilisation!$F$82</f>
        <v>5083.6474828151495</v>
      </c>
      <c r="O27" s="7"/>
      <c r="P27" s="7"/>
    </row>
    <row r="28" spans="1:22" outlineLevel="1" x14ac:dyDescent="0.25">
      <c r="A28" s="25"/>
      <c r="B28" s="79">
        <v>66</v>
      </c>
      <c r="C28" s="169"/>
      <c r="D28" s="169"/>
      <c r="E28" s="169"/>
      <c r="F28" s="169"/>
      <c r="G28" s="169"/>
      <c r="H28" s="169"/>
      <c r="I28" s="162">
        <f>[13]Utilisation!$F$91</f>
        <v>0</v>
      </c>
      <c r="J28" s="162">
        <f>[14]Utilisation!$F$91</f>
        <v>0</v>
      </c>
      <c r="K28" s="162">
        <f>[15]Utilisation!$F$91</f>
        <v>0</v>
      </c>
      <c r="L28" s="162">
        <f>[16]Utilisation!$F$91</f>
        <v>0</v>
      </c>
      <c r="M28" s="162">
        <f>[17]Utilisation!$F$91</f>
        <v>0</v>
      </c>
      <c r="N28" s="163">
        <f>[18]Utilisation!$F$91</f>
        <v>0</v>
      </c>
      <c r="O28" s="7"/>
      <c r="P28" s="7"/>
    </row>
    <row r="29" spans="1:22" outlineLevel="1" x14ac:dyDescent="0.25">
      <c r="A29" s="57"/>
      <c r="B29" s="139"/>
      <c r="C29" s="238" t="s">
        <v>81</v>
      </c>
      <c r="D29" s="238"/>
      <c r="E29" s="238"/>
      <c r="F29" s="238"/>
      <c r="G29" s="238"/>
      <c r="H29" s="238"/>
      <c r="I29" s="238"/>
      <c r="J29" s="238"/>
      <c r="K29" s="238"/>
      <c r="L29" s="238"/>
      <c r="M29" s="238"/>
      <c r="N29" s="239"/>
      <c r="O29" s="7"/>
      <c r="P29" s="7"/>
    </row>
    <row r="30" spans="1:22" outlineLevel="1" x14ac:dyDescent="0.25">
      <c r="A30" s="122" t="s">
        <v>6</v>
      </c>
      <c r="B30" s="140" t="s">
        <v>1</v>
      </c>
      <c r="C30" s="166"/>
      <c r="D30" s="166"/>
      <c r="E30" s="166"/>
      <c r="F30" s="166"/>
      <c r="G30" s="166"/>
      <c r="H30" s="166"/>
      <c r="I30" s="156">
        <f>[13]Utilisation!$F$24</f>
        <v>19487</v>
      </c>
      <c r="J30" s="156">
        <f>[14]Utilisation!$F$24</f>
        <v>21138</v>
      </c>
      <c r="K30" s="156">
        <f>[15]Utilisation!$F$24</f>
        <v>24923</v>
      </c>
      <c r="L30" s="156">
        <f>[16]Utilisation!$F$24</f>
        <v>25698</v>
      </c>
      <c r="M30" s="156">
        <f>[17]Utilisation!$F$24</f>
        <v>25698</v>
      </c>
      <c r="N30" s="157">
        <f>[18]Utilisation!$F$24</f>
        <v>27543</v>
      </c>
      <c r="O30" s="7"/>
      <c r="P30" s="7"/>
    </row>
    <row r="31" spans="1:22" outlineLevel="1" x14ac:dyDescent="0.25">
      <c r="A31" s="19"/>
      <c r="B31" s="141" t="s">
        <v>15</v>
      </c>
      <c r="C31" s="167"/>
      <c r="D31" s="167"/>
      <c r="E31" s="167"/>
      <c r="F31" s="167"/>
      <c r="G31" s="167"/>
      <c r="H31" s="167"/>
      <c r="I31" s="158">
        <f>[13]Utilisation!$F$110</f>
        <v>15062</v>
      </c>
      <c r="J31" s="158">
        <f>[14]Utilisation!$F$110</f>
        <v>16225</v>
      </c>
      <c r="K31" s="158">
        <f>[15]Utilisation!$F$110</f>
        <v>19507</v>
      </c>
      <c r="L31" s="158">
        <f>[16]Utilisation!$F$110</f>
        <v>20074</v>
      </c>
      <c r="M31" s="158">
        <f>[17]Utilisation!$F$110</f>
        <v>20074</v>
      </c>
      <c r="N31" s="159">
        <f>[18]Utilisation!$F$110</f>
        <v>21919</v>
      </c>
      <c r="O31" s="7"/>
      <c r="P31" s="7"/>
    </row>
    <row r="32" spans="1:22" outlineLevel="1" x14ac:dyDescent="0.25">
      <c r="A32" s="123"/>
      <c r="B32" s="142" t="s">
        <v>16</v>
      </c>
      <c r="C32" s="168"/>
      <c r="D32" s="168"/>
      <c r="E32" s="168"/>
      <c r="F32" s="168"/>
      <c r="G32" s="168"/>
      <c r="H32" s="168"/>
      <c r="I32" s="160">
        <f>[13]Utilisation!$F$117</f>
        <v>4425</v>
      </c>
      <c r="J32" s="160">
        <f>[14]Utilisation!$F$117</f>
        <v>4913</v>
      </c>
      <c r="K32" s="160">
        <f>[15]Utilisation!$F$117</f>
        <v>5416</v>
      </c>
      <c r="L32" s="160">
        <f>[16]Utilisation!$F$117</f>
        <v>5624</v>
      </c>
      <c r="M32" s="160">
        <f>[17]Utilisation!$F$117</f>
        <v>5624</v>
      </c>
      <c r="N32" s="161">
        <f>[18]Utilisation!$F$117</f>
        <v>5624</v>
      </c>
      <c r="O32" s="7"/>
      <c r="P32" s="7"/>
      <c r="Q32" s="2"/>
      <c r="R32" s="2"/>
      <c r="S32" s="2"/>
      <c r="T32" s="2"/>
      <c r="U32" s="2"/>
      <c r="V32" s="2"/>
    </row>
    <row r="33" spans="1:16" outlineLevel="1" x14ac:dyDescent="0.25">
      <c r="A33" s="19" t="s">
        <v>17</v>
      </c>
      <c r="B33" s="141" t="s">
        <v>1</v>
      </c>
      <c r="C33" s="167"/>
      <c r="D33" s="167"/>
      <c r="E33" s="167"/>
      <c r="F33" s="167"/>
      <c r="G33" s="167"/>
      <c r="H33" s="167"/>
      <c r="I33" s="158">
        <f>[13]Utilisation!$F$26</f>
        <v>82253</v>
      </c>
      <c r="J33" s="158">
        <f>[14]Utilisation!$F$26</f>
        <v>91472.3</v>
      </c>
      <c r="K33" s="158">
        <f>[15]Utilisation!$F$26</f>
        <v>104480</v>
      </c>
      <c r="L33" s="158">
        <f>[16]Utilisation!$F$26</f>
        <v>112962</v>
      </c>
      <c r="M33" s="158">
        <f>[17]Utilisation!$F$26</f>
        <v>109307</v>
      </c>
      <c r="N33" s="159">
        <f>[18]Utilisation!$F$26</f>
        <v>116366.34700000001</v>
      </c>
      <c r="O33" s="7"/>
      <c r="P33" s="7"/>
    </row>
    <row r="34" spans="1:16" outlineLevel="1" x14ac:dyDescent="0.25">
      <c r="A34" s="19"/>
      <c r="B34" s="8">
        <v>500</v>
      </c>
      <c r="C34" s="167"/>
      <c r="D34" s="167"/>
      <c r="E34" s="167"/>
      <c r="F34" s="167"/>
      <c r="G34" s="167"/>
      <c r="H34" s="167"/>
      <c r="I34" s="158">
        <f>[13]Utilisation!$F$36</f>
        <v>0</v>
      </c>
      <c r="J34" s="158">
        <f>[14]Utilisation!$F$36</f>
        <v>0</v>
      </c>
      <c r="K34" s="158">
        <f>[15]Utilisation!$F$36</f>
        <v>0</v>
      </c>
      <c r="L34" s="158">
        <f>[16]Utilisation!$F$36</f>
        <v>0</v>
      </c>
      <c r="M34" s="158">
        <f>[17]Utilisation!$F$36</f>
        <v>0</v>
      </c>
      <c r="N34" s="159">
        <f>[18]Utilisation!$F$36</f>
        <v>0</v>
      </c>
      <c r="O34" s="7"/>
      <c r="P34" s="7"/>
    </row>
    <row r="35" spans="1:16" outlineLevel="1" x14ac:dyDescent="0.25">
      <c r="A35" s="19"/>
      <c r="B35" s="8">
        <v>330</v>
      </c>
      <c r="C35" s="167"/>
      <c r="D35" s="167"/>
      <c r="E35" s="167"/>
      <c r="F35" s="167"/>
      <c r="G35" s="167"/>
      <c r="H35" s="167"/>
      <c r="I35" s="158">
        <f>[13]Utilisation!$F$45</f>
        <v>8226</v>
      </c>
      <c r="J35" s="158">
        <f>[14]Utilisation!$F$45</f>
        <v>8226</v>
      </c>
      <c r="K35" s="158">
        <f>[15]Utilisation!$F$45</f>
        <v>9472</v>
      </c>
      <c r="L35" s="158">
        <f>[16]Utilisation!$F$45</f>
        <v>9472</v>
      </c>
      <c r="M35" s="158">
        <f>[17]Utilisation!$F$45</f>
        <v>9472</v>
      </c>
      <c r="N35" s="159">
        <f>[18]Utilisation!$F$45</f>
        <v>9472</v>
      </c>
      <c r="O35" s="7"/>
      <c r="P35" s="7"/>
    </row>
    <row r="36" spans="1:16" outlineLevel="1" x14ac:dyDescent="0.25">
      <c r="A36" s="19"/>
      <c r="B36" s="8">
        <v>275</v>
      </c>
      <c r="C36" s="167"/>
      <c r="D36" s="167"/>
      <c r="E36" s="167"/>
      <c r="F36" s="167"/>
      <c r="G36" s="167"/>
      <c r="H36" s="167"/>
      <c r="I36" s="158">
        <f>[13]Utilisation!$F$54</f>
        <v>48618</v>
      </c>
      <c r="J36" s="158">
        <f>[14]Utilisation!$F$54</f>
        <v>56476</v>
      </c>
      <c r="K36" s="158">
        <f>[15]Utilisation!$F$54</f>
        <v>65662</v>
      </c>
      <c r="L36" s="158">
        <f>[16]Utilisation!$F$54</f>
        <v>70158</v>
      </c>
      <c r="M36" s="158">
        <f>[17]Utilisation!$F$54</f>
        <v>66576</v>
      </c>
      <c r="N36" s="159">
        <f>[18]Utilisation!$F$54</f>
        <v>69057.114000000001</v>
      </c>
      <c r="O36" s="7"/>
      <c r="P36" s="7"/>
    </row>
    <row r="37" spans="1:16" outlineLevel="1" x14ac:dyDescent="0.25">
      <c r="A37" s="19"/>
      <c r="B37" s="8">
        <v>220</v>
      </c>
      <c r="C37" s="167"/>
      <c r="D37" s="167"/>
      <c r="E37" s="167"/>
      <c r="F37" s="167"/>
      <c r="G37" s="167"/>
      <c r="H37" s="167"/>
      <c r="I37" s="158">
        <f>[13]Utilisation!$F$63</f>
        <v>0</v>
      </c>
      <c r="J37" s="158">
        <f>[14]Utilisation!$F$63</f>
        <v>0</v>
      </c>
      <c r="K37" s="158">
        <f>[15]Utilisation!$F$63</f>
        <v>0</v>
      </c>
      <c r="L37" s="158">
        <f>[16]Utilisation!$F$63</f>
        <v>0</v>
      </c>
      <c r="M37" s="158">
        <f>[17]Utilisation!$F$63</f>
        <v>0</v>
      </c>
      <c r="N37" s="159">
        <f>[18]Utilisation!$F$63</f>
        <v>0</v>
      </c>
      <c r="O37" s="7"/>
      <c r="P37" s="7"/>
    </row>
    <row r="38" spans="1:16" outlineLevel="1" x14ac:dyDescent="0.25">
      <c r="A38" s="19"/>
      <c r="B38" s="8">
        <v>132</v>
      </c>
      <c r="C38" s="167"/>
      <c r="D38" s="167"/>
      <c r="E38" s="167"/>
      <c r="F38" s="167"/>
      <c r="G38" s="167"/>
      <c r="H38" s="167"/>
      <c r="I38" s="158">
        <f>[13]Utilisation!$F$72</f>
        <v>14710</v>
      </c>
      <c r="J38" s="158">
        <f>[14]Utilisation!$F$72</f>
        <v>15103.3</v>
      </c>
      <c r="K38" s="158">
        <f>[15]Utilisation!$F$72</f>
        <v>16769</v>
      </c>
      <c r="L38" s="158">
        <f>[16]Utilisation!$F$72</f>
        <v>19862</v>
      </c>
      <c r="M38" s="158">
        <f>[17]Utilisation!$F$72</f>
        <v>19773</v>
      </c>
      <c r="N38" s="159">
        <f>[18]Utilisation!$F$72</f>
        <v>21139.233</v>
      </c>
      <c r="O38" s="7"/>
      <c r="P38" s="7"/>
    </row>
    <row r="39" spans="1:16" outlineLevel="1" x14ac:dyDescent="0.25">
      <c r="A39" s="19"/>
      <c r="B39" s="8">
        <v>110</v>
      </c>
      <c r="C39" s="167"/>
      <c r="D39" s="167"/>
      <c r="E39" s="167"/>
      <c r="F39" s="167"/>
      <c r="G39" s="167"/>
      <c r="H39" s="167"/>
      <c r="I39" s="158">
        <f>[13]Utilisation!$F$81</f>
        <v>10699</v>
      </c>
      <c r="J39" s="158">
        <f>[14]Utilisation!$F$81</f>
        <v>11667</v>
      </c>
      <c r="K39" s="158">
        <f>[15]Utilisation!$F$81</f>
        <v>12577</v>
      </c>
      <c r="L39" s="158">
        <f>[16]Utilisation!$F$81</f>
        <v>13470</v>
      </c>
      <c r="M39" s="158">
        <f>[17]Utilisation!$F$81</f>
        <v>13486</v>
      </c>
      <c r="N39" s="159">
        <f>[18]Utilisation!$F$81</f>
        <v>16698</v>
      </c>
      <c r="O39" s="7"/>
      <c r="P39" s="7"/>
    </row>
    <row r="40" spans="1:16" outlineLevel="1" x14ac:dyDescent="0.25">
      <c r="A40" s="25"/>
      <c r="B40" s="79">
        <v>66</v>
      </c>
      <c r="C40" s="169"/>
      <c r="D40" s="169"/>
      <c r="E40" s="169"/>
      <c r="F40" s="169"/>
      <c r="G40" s="169"/>
      <c r="H40" s="169"/>
      <c r="I40" s="162">
        <f>[13]Utilisation!$F$90</f>
        <v>0</v>
      </c>
      <c r="J40" s="162">
        <f>[14]Utilisation!$F$90</f>
        <v>0</v>
      </c>
      <c r="K40" s="162">
        <f>[15]Utilisation!$F$90</f>
        <v>0</v>
      </c>
      <c r="L40" s="162">
        <f>[16]Utilisation!$F$90</f>
        <v>0</v>
      </c>
      <c r="M40" s="162">
        <f>[17]Utilisation!$F$90</f>
        <v>0</v>
      </c>
      <c r="N40" s="163">
        <f>[18]Utilisation!$F$90</f>
        <v>0</v>
      </c>
      <c r="O40" s="7"/>
      <c r="P40" s="7"/>
    </row>
    <row r="41" spans="1:16" outlineLevel="1" x14ac:dyDescent="0.25">
      <c r="A41" s="58"/>
      <c r="B41" s="143"/>
      <c r="C41" s="242" t="s">
        <v>82</v>
      </c>
      <c r="D41" s="242"/>
      <c r="E41" s="242"/>
      <c r="F41" s="242"/>
      <c r="G41" s="242"/>
      <c r="H41" s="242"/>
      <c r="I41" s="242"/>
      <c r="J41" s="242"/>
      <c r="K41" s="242"/>
      <c r="L41" s="242"/>
      <c r="M41" s="242"/>
      <c r="N41" s="243"/>
      <c r="O41" s="7"/>
      <c r="P41" s="7"/>
    </row>
    <row r="42" spans="1:16" outlineLevel="1" x14ac:dyDescent="0.25">
      <c r="A42" s="19" t="s">
        <v>17</v>
      </c>
      <c r="B42" s="141" t="s">
        <v>1</v>
      </c>
      <c r="C42" s="167"/>
      <c r="D42" s="167"/>
      <c r="E42" s="167"/>
      <c r="F42" s="167"/>
      <c r="G42" s="167"/>
      <c r="H42" s="167"/>
      <c r="I42" s="158">
        <f>[13]Utilisation!$F$28</f>
        <v>13142.418725972735</v>
      </c>
      <c r="J42" s="158">
        <f>[14]Utilisation!$F$28</f>
        <v>13003.688732398459</v>
      </c>
      <c r="K42" s="158">
        <f>[15]Utilisation!$F$28</f>
        <v>13608.462582021573</v>
      </c>
      <c r="L42" s="158">
        <f>[16]Utilisation!$F$28</f>
        <v>14073.608088955378</v>
      </c>
      <c r="M42" s="158">
        <f>[17]Utilisation!$F$28</f>
        <v>13653.39136395495</v>
      </c>
      <c r="N42" s="159">
        <f>[18]Utilisation!$F$28</f>
        <v>13842.231289447438</v>
      </c>
      <c r="O42" s="7"/>
      <c r="P42" s="7"/>
    </row>
    <row r="43" spans="1:16" outlineLevel="1" x14ac:dyDescent="0.25">
      <c r="A43" s="19"/>
      <c r="B43" s="8">
        <v>500</v>
      </c>
      <c r="C43" s="167"/>
      <c r="D43" s="167"/>
      <c r="E43" s="167"/>
      <c r="F43" s="167"/>
      <c r="G43" s="167"/>
      <c r="H43" s="167"/>
      <c r="I43" s="158">
        <f>[13]Utilisation!$F$38</f>
        <v>0</v>
      </c>
      <c r="J43" s="158">
        <f>[14]Utilisation!$F$38</f>
        <v>0</v>
      </c>
      <c r="K43" s="158">
        <f>[15]Utilisation!$F$38</f>
        <v>0</v>
      </c>
      <c r="L43" s="158">
        <f>[16]Utilisation!$F$38</f>
        <v>0</v>
      </c>
      <c r="M43" s="158">
        <f>[17]Utilisation!$F$38</f>
        <v>0</v>
      </c>
      <c r="N43" s="159">
        <f>[18]Utilisation!$F$38</f>
        <v>0</v>
      </c>
      <c r="O43" s="7"/>
      <c r="P43" s="7"/>
    </row>
    <row r="44" spans="1:16" outlineLevel="1" x14ac:dyDescent="0.25">
      <c r="A44" s="19"/>
      <c r="B44" s="8">
        <v>330</v>
      </c>
      <c r="C44" s="167"/>
      <c r="D44" s="167"/>
      <c r="E44" s="167"/>
      <c r="F44" s="167"/>
      <c r="G44" s="167"/>
      <c r="H44" s="167"/>
      <c r="I44" s="158">
        <f>[13]Utilisation!$F$47</f>
        <v>320.65945154387333</v>
      </c>
      <c r="J44" s="158">
        <f>[14]Utilisation!$F$47</f>
        <v>320.65945154387333</v>
      </c>
      <c r="K44" s="158">
        <f>[15]Utilisation!$F$47</f>
        <v>413.63702383894673</v>
      </c>
      <c r="L44" s="158">
        <f>[16]Utilisation!$F$47</f>
        <v>413.63702383894673</v>
      </c>
      <c r="M44" s="158">
        <f>[17]Utilisation!$F$47</f>
        <v>413.63702383894673</v>
      </c>
      <c r="N44" s="159">
        <f>[18]Utilisation!$F$47</f>
        <v>413.63702383894673</v>
      </c>
      <c r="O44" s="7"/>
      <c r="P44" s="7"/>
    </row>
    <row r="45" spans="1:16" outlineLevel="1" x14ac:dyDescent="0.25">
      <c r="A45" s="19"/>
      <c r="B45" s="8">
        <v>275</v>
      </c>
      <c r="C45" s="167"/>
      <c r="D45" s="167"/>
      <c r="E45" s="167"/>
      <c r="F45" s="167"/>
      <c r="G45" s="167"/>
      <c r="H45" s="167"/>
      <c r="I45" s="158">
        <f>[13]Utilisation!$F$56</f>
        <v>6081.5624274684851</v>
      </c>
      <c r="J45" s="158">
        <f>[14]Utilisation!$F$56</f>
        <v>6291.0407147965543</v>
      </c>
      <c r="K45" s="158">
        <f>[15]Utilisation!$F$56</f>
        <v>6817.4438190854344</v>
      </c>
      <c r="L45" s="158">
        <f>[16]Utilisation!$F$56</f>
        <v>6989.1236710725425</v>
      </c>
      <c r="M45" s="158">
        <f>[17]Utilisation!$F$56</f>
        <v>6608.5595023612541</v>
      </c>
      <c r="N45" s="159">
        <f>[18]Utilisation!$F$56</f>
        <v>6765.060019214674</v>
      </c>
      <c r="O45" s="7"/>
      <c r="P45" s="7"/>
    </row>
    <row r="46" spans="1:16" outlineLevel="1" x14ac:dyDescent="0.25">
      <c r="A46" s="19"/>
      <c r="B46" s="8">
        <v>220</v>
      </c>
      <c r="C46" s="167"/>
      <c r="D46" s="167"/>
      <c r="E46" s="167"/>
      <c r="F46" s="167"/>
      <c r="G46" s="167"/>
      <c r="H46" s="167"/>
      <c r="I46" s="158">
        <f>[13]Utilisation!$F$65</f>
        <v>0</v>
      </c>
      <c r="J46" s="158">
        <f>[14]Utilisation!$F$65</f>
        <v>0</v>
      </c>
      <c r="K46" s="158">
        <f>[15]Utilisation!$F$65</f>
        <v>0</v>
      </c>
      <c r="L46" s="158">
        <f>[16]Utilisation!$F$65</f>
        <v>0</v>
      </c>
      <c r="M46" s="158">
        <f>[17]Utilisation!$F$65</f>
        <v>0</v>
      </c>
      <c r="N46" s="159">
        <f>[18]Utilisation!$F$65</f>
        <v>0</v>
      </c>
      <c r="O46" s="7"/>
      <c r="P46" s="7"/>
    </row>
    <row r="47" spans="1:16" outlineLevel="1" x14ac:dyDescent="0.25">
      <c r="A47" s="19"/>
      <c r="B47" s="8">
        <v>132</v>
      </c>
      <c r="C47" s="167"/>
      <c r="D47" s="167"/>
      <c r="E47" s="167"/>
      <c r="F47" s="167"/>
      <c r="G47" s="167"/>
      <c r="H47" s="167"/>
      <c r="I47" s="158">
        <f>[13]Utilisation!$F$74</f>
        <v>5781.3240279046004</v>
      </c>
      <c r="J47" s="158">
        <f>[14]Utilisation!$F$74</f>
        <v>5543.096091018253</v>
      </c>
      <c r="K47" s="158">
        <f>[15]Utilisation!$F$74</f>
        <v>5609.3662151231656</v>
      </c>
      <c r="L47" s="158">
        <f>[16]Utilisation!$F$74</f>
        <v>5870.8618378313122</v>
      </c>
      <c r="M47" s="158">
        <f>[17]Utilisation!$F$74</f>
        <v>5831.2092815421702</v>
      </c>
      <c r="N47" s="159">
        <f>[18]Utilisation!$F$74</f>
        <v>5695.3332627547934</v>
      </c>
      <c r="O47" s="7"/>
      <c r="P47" s="7"/>
    </row>
    <row r="48" spans="1:16" outlineLevel="1" x14ac:dyDescent="0.25">
      <c r="A48" s="19"/>
      <c r="B48" s="8">
        <v>110</v>
      </c>
      <c r="C48" s="167"/>
      <c r="D48" s="167"/>
      <c r="E48" s="167"/>
      <c r="F48" s="167"/>
      <c r="G48" s="167"/>
      <c r="H48" s="167"/>
      <c r="I48" s="158">
        <f>[13]Utilisation!$F$83</f>
        <v>958.87281905578948</v>
      </c>
      <c r="J48" s="158">
        <f>[14]Utilisation!$F$83</f>
        <v>848.89247503979084</v>
      </c>
      <c r="K48" s="158">
        <f>[15]Utilisation!$F$83</f>
        <v>768.01552397403873</v>
      </c>
      <c r="L48" s="158">
        <f>[16]Utilisation!$F$83</f>
        <v>799.98555621259254</v>
      </c>
      <c r="M48" s="158">
        <f>[17]Utilisation!$F$83</f>
        <v>799.98555621259254</v>
      </c>
      <c r="N48" s="159">
        <f>[18]Utilisation!$F$83</f>
        <v>968.20098363903628</v>
      </c>
      <c r="O48" s="7"/>
      <c r="P48" s="7"/>
    </row>
    <row r="49" spans="1:16" outlineLevel="1" x14ac:dyDescent="0.25">
      <c r="A49" s="25"/>
      <c r="B49" s="79">
        <v>66</v>
      </c>
      <c r="C49" s="169"/>
      <c r="D49" s="169"/>
      <c r="E49" s="169"/>
      <c r="F49" s="169"/>
      <c r="G49" s="169"/>
      <c r="H49" s="169"/>
      <c r="I49" s="162">
        <f>[13]Utilisation!$F$92</f>
        <v>0</v>
      </c>
      <c r="J49" s="162">
        <f>[14]Utilisation!$F$92</f>
        <v>0</v>
      </c>
      <c r="K49" s="162">
        <f>[15]Utilisation!$F$92</f>
        <v>0</v>
      </c>
      <c r="L49" s="162">
        <f>[16]Utilisation!$F$92</f>
        <v>0</v>
      </c>
      <c r="M49" s="162">
        <f>[17]Utilisation!$F$92</f>
        <v>0</v>
      </c>
      <c r="N49" s="163">
        <f>[18]Utilisation!$F$92</f>
        <v>0</v>
      </c>
      <c r="O49" s="7"/>
      <c r="P49" s="7"/>
    </row>
    <row r="50" spans="1:16" outlineLevel="1" x14ac:dyDescent="0.25">
      <c r="A50" s="57"/>
      <c r="B50" s="139"/>
      <c r="C50" s="251" t="s">
        <v>83</v>
      </c>
      <c r="D50" s="251"/>
      <c r="E50" s="251"/>
      <c r="F50" s="251"/>
      <c r="G50" s="251"/>
      <c r="H50" s="251"/>
      <c r="I50" s="251"/>
      <c r="J50" s="251"/>
      <c r="K50" s="251"/>
      <c r="L50" s="251"/>
      <c r="M50" s="251"/>
      <c r="N50" s="252"/>
      <c r="O50" s="176" t="s">
        <v>7</v>
      </c>
      <c r="P50" s="7"/>
    </row>
    <row r="51" spans="1:16" outlineLevel="1" x14ac:dyDescent="0.25">
      <c r="A51" s="19" t="s">
        <v>17</v>
      </c>
      <c r="B51" s="141" t="s">
        <v>1</v>
      </c>
      <c r="C51" s="167"/>
      <c r="D51" s="167"/>
      <c r="E51" s="167"/>
      <c r="F51" s="167"/>
      <c r="G51" s="167"/>
      <c r="H51" s="167"/>
      <c r="I51" s="158">
        <f>[13]Utilisation!$F$29</f>
        <v>4925026.8690888546</v>
      </c>
      <c r="J51" s="158">
        <f>[14]Utilisation!$F$29</f>
        <v>5053929.2275507227</v>
      </c>
      <c r="K51" s="158">
        <f>[15]Utilisation!$F$29</f>
        <v>5915893.2864621272</v>
      </c>
      <c r="L51" s="158">
        <f>[16]Utilisation!$F$29</f>
        <v>6285138.4229592374</v>
      </c>
      <c r="M51" s="158">
        <f>[17]Utilisation!$F$29</f>
        <v>6045711.0377402715</v>
      </c>
      <c r="N51" s="159">
        <f>[18]Utilisation!$F$29</f>
        <v>6426353.1648957329</v>
      </c>
      <c r="O51" s="175">
        <f>AVERAGE(I51:N51)</f>
        <v>5775342.0014494918</v>
      </c>
      <c r="P51" s="7"/>
    </row>
    <row r="52" spans="1:16" outlineLevel="1" x14ac:dyDescent="0.25">
      <c r="A52" s="19"/>
      <c r="B52" s="8">
        <v>500</v>
      </c>
      <c r="C52" s="167"/>
      <c r="D52" s="167"/>
      <c r="E52" s="167"/>
      <c r="F52" s="167"/>
      <c r="G52" s="167"/>
      <c r="H52" s="167"/>
      <c r="I52" s="158">
        <f>[13]Utilisation!$F$35</f>
        <v>0</v>
      </c>
      <c r="J52" s="158">
        <f>[14]Utilisation!$F$35</f>
        <v>0</v>
      </c>
      <c r="K52" s="158">
        <f>[15]Utilisation!$F$35</f>
        <v>0</v>
      </c>
      <c r="L52" s="158">
        <f>[16]Utilisation!$F$35</f>
        <v>0</v>
      </c>
      <c r="M52" s="158">
        <f>[17]Utilisation!$F$35</f>
        <v>0</v>
      </c>
      <c r="N52" s="159">
        <f>[18]Utilisation!$F$35</f>
        <v>0</v>
      </c>
      <c r="O52" s="175">
        <f>AVERAGE(I52:N52)</f>
        <v>0</v>
      </c>
      <c r="P52" s="7"/>
    </row>
    <row r="53" spans="1:16" outlineLevel="1" x14ac:dyDescent="0.25">
      <c r="A53" s="19"/>
      <c r="B53" s="8">
        <v>330</v>
      </c>
      <c r="C53" s="167"/>
      <c r="D53" s="167"/>
      <c r="E53" s="167"/>
      <c r="F53" s="167"/>
      <c r="G53" s="167"/>
      <c r="H53" s="167"/>
      <c r="I53" s="158">
        <f>[13]Utilisation!$F$44</f>
        <v>370122.01662366622</v>
      </c>
      <c r="J53" s="158">
        <f>[14]Utilisation!$F$44</f>
        <v>370122.01662366622</v>
      </c>
      <c r="K53" s="158">
        <f>[15]Utilisation!$F$44</f>
        <v>485972.07170332759</v>
      </c>
      <c r="L53" s="158">
        <f>[16]Utilisation!$F$44</f>
        <v>485972.07170332759</v>
      </c>
      <c r="M53" s="158">
        <f>[17]Utilisation!$F$44</f>
        <v>485972.07170332759</v>
      </c>
      <c r="N53" s="159">
        <f>[18]Utilisation!$F$44</f>
        <v>485972.07170332759</v>
      </c>
      <c r="O53" s="175">
        <f>AVERAGE(I53:N53)</f>
        <v>447355.38667677372</v>
      </c>
      <c r="P53" s="7"/>
    </row>
    <row r="54" spans="1:16" outlineLevel="1" x14ac:dyDescent="0.25">
      <c r="A54" s="19"/>
      <c r="B54" s="8">
        <v>275</v>
      </c>
      <c r="C54" s="167"/>
      <c r="D54" s="167"/>
      <c r="E54" s="167"/>
      <c r="F54" s="167"/>
      <c r="G54" s="167"/>
      <c r="H54" s="167"/>
      <c r="I54" s="158">
        <f>[13]Utilisation!$F$53</f>
        <v>3876694.3323151283</v>
      </c>
      <c r="J54" s="158">
        <f>[14]Utilisation!$F$53</f>
        <v>4037440.0834536701</v>
      </c>
      <c r="K54" s="158">
        <f>[15]Utilisation!$F$53</f>
        <v>4760870.2931522066</v>
      </c>
      <c r="L54" s="158">
        <f>[16]Utilisation!$F$53</f>
        <v>5068743.4162610108</v>
      </c>
      <c r="M54" s="158">
        <f>[17]Utilisation!$F$53</f>
        <v>4836220.6486407341</v>
      </c>
      <c r="N54" s="159">
        <f>[18]Utilisation!$F$53</f>
        <v>5186715.9925286584</v>
      </c>
      <c r="O54" s="175">
        <f t="shared" ref="O54:O58" si="2">AVERAGE(I54:N54)</f>
        <v>4627780.7943919012</v>
      </c>
      <c r="P54" s="7"/>
    </row>
    <row r="55" spans="1:16" outlineLevel="1" x14ac:dyDescent="0.25">
      <c r="A55" s="19"/>
      <c r="B55" s="8">
        <v>220</v>
      </c>
      <c r="C55" s="167"/>
      <c r="D55" s="167"/>
      <c r="E55" s="167"/>
      <c r="F55" s="167"/>
      <c r="G55" s="167"/>
      <c r="H55" s="167"/>
      <c r="I55" s="158">
        <f>[13]Utilisation!$F$62</f>
        <v>0</v>
      </c>
      <c r="J55" s="158">
        <f>[14]Utilisation!$F$62</f>
        <v>0</v>
      </c>
      <c r="K55" s="158">
        <f>[15]Utilisation!$F$62</f>
        <v>0</v>
      </c>
      <c r="L55" s="158">
        <f>[16]Utilisation!$F$62</f>
        <v>0</v>
      </c>
      <c r="M55" s="158">
        <f>[17]Utilisation!$F$62</f>
        <v>0</v>
      </c>
      <c r="N55" s="159">
        <f>[18]Utilisation!$F$62</f>
        <v>0</v>
      </c>
      <c r="O55" s="175">
        <f t="shared" si="2"/>
        <v>0</v>
      </c>
      <c r="P55" s="7"/>
    </row>
    <row r="56" spans="1:16" outlineLevel="1" x14ac:dyDescent="0.25">
      <c r="A56" s="19"/>
      <c r="B56" s="8">
        <v>132</v>
      </c>
      <c r="C56" s="167"/>
      <c r="D56" s="167"/>
      <c r="E56" s="167"/>
      <c r="F56" s="167"/>
      <c r="G56" s="167"/>
      <c r="H56" s="167"/>
      <c r="I56" s="158">
        <f>[13]Utilisation!$F$71</f>
        <v>558973.42464903265</v>
      </c>
      <c r="J56" s="158">
        <f>[14]Utilisation!$F$71</f>
        <v>542888.35812402004</v>
      </c>
      <c r="K56" s="158">
        <f>[15]Utilisation!$F$71</f>
        <v>572244.38820118888</v>
      </c>
      <c r="L56" s="158">
        <f>[16]Utilisation!$F$71</f>
        <v>627764.63937891671</v>
      </c>
      <c r="M56" s="158">
        <f>[17]Utilisation!$F$71</f>
        <v>620162.42178022582</v>
      </c>
      <c r="N56" s="159">
        <f>[18]Utilisation!$F$71</f>
        <v>621954.12201583525</v>
      </c>
      <c r="O56" s="175">
        <f t="shared" si="2"/>
        <v>590664.55902486981</v>
      </c>
      <c r="P56" s="7"/>
    </row>
    <row r="57" spans="1:16" outlineLevel="1" x14ac:dyDescent="0.25">
      <c r="A57" s="19"/>
      <c r="B57" s="8">
        <v>110</v>
      </c>
      <c r="C57" s="167"/>
      <c r="D57" s="167"/>
      <c r="E57" s="167"/>
      <c r="F57" s="167"/>
      <c r="G57" s="167"/>
      <c r="H57" s="167"/>
      <c r="I57" s="158">
        <f>[13]Utilisation!$F$80</f>
        <v>119237.09550102733</v>
      </c>
      <c r="J57" s="158">
        <f>[14]Utilisation!$F$80</f>
        <v>103478.76934936698</v>
      </c>
      <c r="K57" s="158">
        <f>[15]Utilisation!$F$80</f>
        <v>96806.533405404567</v>
      </c>
      <c r="L57" s="158">
        <f>[16]Utilisation!$F$80</f>
        <v>102658.29561598242</v>
      </c>
      <c r="M57" s="158">
        <f>[17]Utilisation!$F$80</f>
        <v>103355.8956159824</v>
      </c>
      <c r="N57" s="159">
        <f>[18]Utilisation!$F$80</f>
        <v>131710.97864791148</v>
      </c>
      <c r="O57" s="175">
        <f t="shared" si="2"/>
        <v>109541.26135594586</v>
      </c>
      <c r="P57" s="7"/>
    </row>
    <row r="58" spans="1:16" ht="16.5" outlineLevel="1" thickBot="1" x14ac:dyDescent="0.3">
      <c r="A58" s="22"/>
      <c r="B58" s="81">
        <v>66</v>
      </c>
      <c r="C58" s="169"/>
      <c r="D58" s="169"/>
      <c r="E58" s="169"/>
      <c r="F58" s="169"/>
      <c r="G58" s="169"/>
      <c r="H58" s="169"/>
      <c r="I58" s="164">
        <f>[13]Utilisation!$F$89</f>
        <v>0</v>
      </c>
      <c r="J58" s="164">
        <f>[14]Utilisation!$F$89</f>
        <v>0</v>
      </c>
      <c r="K58" s="164">
        <f>[15]Utilisation!$F$89</f>
        <v>0</v>
      </c>
      <c r="L58" s="164">
        <f>[16]Utilisation!$F$89</f>
        <v>0</v>
      </c>
      <c r="M58" s="164">
        <f>[17]Utilisation!$F$89</f>
        <v>0</v>
      </c>
      <c r="N58" s="165">
        <f>[18]Utilisation!$F$89</f>
        <v>0</v>
      </c>
      <c r="O58" s="175">
        <f t="shared" si="2"/>
        <v>0</v>
      </c>
      <c r="P58" s="7"/>
    </row>
    <row r="59" spans="1:16" ht="21" outlineLevel="1" x14ac:dyDescent="0.35">
      <c r="A59" s="19"/>
      <c r="B59" s="8"/>
      <c r="C59" s="245" t="s">
        <v>84</v>
      </c>
      <c r="D59" s="245"/>
      <c r="E59" s="245"/>
      <c r="F59" s="245"/>
      <c r="G59" s="245"/>
      <c r="H59" s="245"/>
      <c r="I59" s="245"/>
      <c r="J59" s="245"/>
      <c r="K59" s="245"/>
      <c r="L59" s="245"/>
      <c r="M59" s="245"/>
      <c r="N59" s="246"/>
      <c r="O59" s="175"/>
      <c r="P59" s="7"/>
    </row>
    <row r="60" spans="1:16" outlineLevel="1" x14ac:dyDescent="0.25">
      <c r="A60" s="19"/>
      <c r="B60" s="8"/>
      <c r="C60" s="242" t="s">
        <v>85</v>
      </c>
      <c r="D60" s="242"/>
      <c r="E60" s="242"/>
      <c r="F60" s="242"/>
      <c r="G60" s="242"/>
      <c r="H60" s="242"/>
      <c r="I60" s="242"/>
      <c r="J60" s="242"/>
      <c r="K60" s="242"/>
      <c r="L60" s="242"/>
      <c r="M60" s="242"/>
      <c r="N60" s="243"/>
      <c r="O60" s="175"/>
      <c r="P60" s="7"/>
    </row>
    <row r="61" spans="1:16" outlineLevel="1" x14ac:dyDescent="0.25">
      <c r="A61" s="128" t="s">
        <v>6</v>
      </c>
      <c r="B61" s="144" t="s">
        <v>1</v>
      </c>
      <c r="C61" s="129">
        <f>C6</f>
        <v>0</v>
      </c>
      <c r="D61" s="167"/>
      <c r="E61" s="167"/>
      <c r="F61" s="167"/>
      <c r="G61" s="167"/>
      <c r="H61" s="167"/>
      <c r="I61" s="129">
        <f t="shared" ref="I61:N62" si="3">I6</f>
        <v>0.44833479189518322</v>
      </c>
      <c r="J61" s="129">
        <f t="shared" si="3"/>
        <v>0.42948139654495371</v>
      </c>
      <c r="K61" s="129">
        <f t="shared" si="3"/>
        <v>0.37632912823100223</v>
      </c>
      <c r="L61" s="129">
        <f t="shared" si="3"/>
        <v>0.37371992498004164</v>
      </c>
      <c r="M61" s="129">
        <f t="shared" si="3"/>
        <v>0.36296960365672348</v>
      </c>
      <c r="N61" s="133">
        <f t="shared" si="3"/>
        <v>0.37097479329123501</v>
      </c>
      <c r="O61" s="175"/>
      <c r="P61" s="7"/>
    </row>
    <row r="62" spans="1:16" outlineLevel="1" x14ac:dyDescent="0.25">
      <c r="A62" s="130"/>
      <c r="B62" s="145" t="s">
        <v>15</v>
      </c>
      <c r="C62" s="131">
        <f>C7</f>
        <v>0.49851903016352955</v>
      </c>
      <c r="D62" s="167"/>
      <c r="E62" s="167"/>
      <c r="F62" s="167"/>
      <c r="G62" s="167"/>
      <c r="H62" s="167"/>
      <c r="I62" s="131">
        <f t="shared" si="3"/>
        <v>0.45136877317134649</v>
      </c>
      <c r="J62" s="131">
        <f t="shared" si="3"/>
        <v>0.43162557844641647</v>
      </c>
      <c r="K62" s="131">
        <f t="shared" si="3"/>
        <v>0.38593420098430842</v>
      </c>
      <c r="L62" s="131">
        <f t="shared" si="3"/>
        <v>0.38183897611809015</v>
      </c>
      <c r="M62" s="131">
        <f t="shared" si="3"/>
        <v>0.36807367580108263</v>
      </c>
      <c r="N62" s="134">
        <f t="shared" si="3"/>
        <v>0.38144490417761096</v>
      </c>
      <c r="O62" s="175"/>
      <c r="P62" s="7"/>
    </row>
    <row r="63" spans="1:16" outlineLevel="1" x14ac:dyDescent="0.25">
      <c r="A63" s="114" t="s">
        <v>17</v>
      </c>
      <c r="B63" s="146" t="s">
        <v>1</v>
      </c>
      <c r="C63" s="127">
        <f>C9</f>
        <v>0.30600848225107685</v>
      </c>
      <c r="D63" s="169"/>
      <c r="E63" s="169"/>
      <c r="F63" s="169"/>
      <c r="G63" s="169"/>
      <c r="H63" s="169"/>
      <c r="I63" s="127">
        <f t="shared" ref="I63:N63" si="4">I9</f>
        <v>0.36575623184515316</v>
      </c>
      <c r="J63" s="127">
        <f t="shared" si="4"/>
        <v>0.35498737025770716</v>
      </c>
      <c r="K63" s="127">
        <f t="shared" si="4"/>
        <v>0.28079739380506263</v>
      </c>
      <c r="L63" s="127">
        <f t="shared" si="4"/>
        <v>0.2824545347274266</v>
      </c>
      <c r="M63" s="127">
        <f t="shared" si="4"/>
        <v>0.2855765245400021</v>
      </c>
      <c r="N63" s="135">
        <f t="shared" si="4"/>
        <v>0.27150125497270294</v>
      </c>
      <c r="O63" s="175"/>
      <c r="P63" s="7"/>
    </row>
    <row r="64" spans="1:16" outlineLevel="1" x14ac:dyDescent="0.25">
      <c r="A64" s="19"/>
      <c r="B64" s="8"/>
      <c r="C64" s="242" t="s">
        <v>86</v>
      </c>
      <c r="D64" s="242"/>
      <c r="E64" s="242"/>
      <c r="F64" s="242"/>
      <c r="G64" s="242"/>
      <c r="H64" s="242"/>
      <c r="I64" s="242"/>
      <c r="J64" s="242"/>
      <c r="K64" s="242"/>
      <c r="L64" s="242"/>
      <c r="M64" s="242"/>
      <c r="N64" s="243"/>
      <c r="O64" s="175"/>
      <c r="P64" s="7"/>
    </row>
    <row r="65" spans="1:16" outlineLevel="1" x14ac:dyDescent="0.25">
      <c r="A65" s="128" t="s">
        <v>6</v>
      </c>
      <c r="B65" s="144" t="s">
        <v>1</v>
      </c>
      <c r="C65" s="129">
        <f>C61*$C$104</f>
        <v>0</v>
      </c>
      <c r="D65" s="167"/>
      <c r="E65" s="167"/>
      <c r="F65" s="167"/>
      <c r="G65" s="167"/>
      <c r="H65" s="167"/>
      <c r="I65" s="129">
        <f t="shared" ref="I65:N66" si="5">I61*$C$104</f>
        <v>0.44058308334331553</v>
      </c>
      <c r="J65" s="129">
        <f t="shared" si="5"/>
        <v>0.42205566319869148</v>
      </c>
      <c r="K65" s="129">
        <f t="shared" si="5"/>
        <v>0.36982239760388824</v>
      </c>
      <c r="L65" s="129">
        <f t="shared" si="5"/>
        <v>0.36725830747713673</v>
      </c>
      <c r="M65" s="129">
        <f t="shared" si="5"/>
        <v>0.35669385920949875</v>
      </c>
      <c r="N65" s="133">
        <f t="shared" si="5"/>
        <v>0.36456063911522957</v>
      </c>
      <c r="O65" s="175"/>
      <c r="P65" s="7"/>
    </row>
    <row r="66" spans="1:16" outlineLevel="1" x14ac:dyDescent="0.25">
      <c r="A66" s="130"/>
      <c r="B66" s="145" t="s">
        <v>15</v>
      </c>
      <c r="C66" s="131">
        <f>C62*$C$104</f>
        <v>0.48989963613200216</v>
      </c>
      <c r="D66" s="167"/>
      <c r="E66" s="167"/>
      <c r="F66" s="167"/>
      <c r="G66" s="167"/>
      <c r="H66" s="167"/>
      <c r="I66" s="131">
        <f t="shared" si="5"/>
        <v>0.44356460708321394</v>
      </c>
      <c r="J66" s="131">
        <f t="shared" si="5"/>
        <v>0.42416277219507798</v>
      </c>
      <c r="K66" s="131">
        <f t="shared" si="5"/>
        <v>0.37926139864928976</v>
      </c>
      <c r="L66" s="131">
        <f t="shared" si="5"/>
        <v>0.37523698022100838</v>
      </c>
      <c r="M66" s="131">
        <f t="shared" si="5"/>
        <v>0.36170968194648195</v>
      </c>
      <c r="N66" s="134">
        <f t="shared" si="5"/>
        <v>0.37484972178438009</v>
      </c>
      <c r="O66" s="175"/>
      <c r="P66" s="7"/>
    </row>
    <row r="67" spans="1:16" ht="16.5" outlineLevel="1" thickBot="1" x14ac:dyDescent="0.3">
      <c r="A67" s="136" t="s">
        <v>17</v>
      </c>
      <c r="B67" s="147" t="s">
        <v>1</v>
      </c>
      <c r="C67" s="137">
        <f>C63*$D$104</f>
        <v>0.26149356138517893</v>
      </c>
      <c r="D67" s="174"/>
      <c r="E67" s="174"/>
      <c r="F67" s="174"/>
      <c r="G67" s="174"/>
      <c r="H67" s="174"/>
      <c r="I67" s="137">
        <f t="shared" ref="I67:N67" si="6">I63*$D$104</f>
        <v>0.31254983182308738</v>
      </c>
      <c r="J67" s="137">
        <f t="shared" si="6"/>
        <v>0.30334751184865344</v>
      </c>
      <c r="K67" s="137">
        <f t="shared" si="6"/>
        <v>0.2399499190140636</v>
      </c>
      <c r="L67" s="137">
        <f t="shared" si="6"/>
        <v>0.24136599636694733</v>
      </c>
      <c r="M67" s="137">
        <f t="shared" si="6"/>
        <v>0.24403383167887435</v>
      </c>
      <c r="N67" s="138">
        <f t="shared" si="6"/>
        <v>0.23200608545584778</v>
      </c>
      <c r="O67" s="175"/>
      <c r="P67" s="7"/>
    </row>
    <row r="68" spans="1:16" ht="16.5" thickBot="1" x14ac:dyDescent="0.3">
      <c r="A68" s="19"/>
      <c r="B68" s="7"/>
      <c r="C68" s="7"/>
      <c r="D68" s="7"/>
      <c r="E68" s="7"/>
      <c r="F68" s="7"/>
      <c r="G68" s="7"/>
      <c r="H68" s="7"/>
      <c r="I68" s="7"/>
      <c r="J68" s="7"/>
      <c r="K68" s="7"/>
      <c r="L68" s="7"/>
      <c r="M68" s="7"/>
      <c r="N68" s="7"/>
      <c r="O68" s="7"/>
    </row>
    <row r="69" spans="1:16" ht="24" thickBot="1" x14ac:dyDescent="0.4">
      <c r="A69" s="54" t="s">
        <v>135</v>
      </c>
      <c r="B69" s="55"/>
      <c r="C69" s="55"/>
      <c r="D69" s="55"/>
      <c r="E69" s="55"/>
      <c r="F69" s="55"/>
      <c r="G69" s="55"/>
      <c r="H69" s="55"/>
      <c r="I69" s="55"/>
      <c r="J69" s="55"/>
      <c r="K69" s="55"/>
      <c r="L69" s="55"/>
      <c r="M69" s="55"/>
      <c r="N69" s="56"/>
    </row>
    <row r="70" spans="1:16" outlineLevel="1" x14ac:dyDescent="0.25">
      <c r="A70" s="20" t="s">
        <v>88</v>
      </c>
      <c r="B70" s="7"/>
      <c r="C70" s="7"/>
      <c r="D70" s="7"/>
      <c r="E70" s="7"/>
      <c r="F70" s="7"/>
      <c r="G70" s="7"/>
      <c r="H70" s="7"/>
      <c r="I70" s="7"/>
      <c r="J70" s="7"/>
      <c r="K70" s="7"/>
      <c r="L70" s="7"/>
      <c r="M70" s="7"/>
      <c r="N70" s="18"/>
    </row>
    <row r="71" spans="1:16" outlineLevel="1" x14ac:dyDescent="0.25">
      <c r="A71" s="20"/>
      <c r="B71" s="185" t="s">
        <v>80</v>
      </c>
      <c r="C71" s="21">
        <v>2000</v>
      </c>
      <c r="D71" s="21">
        <v>2001</v>
      </c>
      <c r="E71" s="21">
        <v>2002</v>
      </c>
      <c r="F71" s="21">
        <v>2003</v>
      </c>
      <c r="G71" s="21">
        <v>2004</v>
      </c>
      <c r="H71" s="21">
        <v>2005</v>
      </c>
      <c r="I71" s="21">
        <v>2006</v>
      </c>
      <c r="J71" s="21">
        <v>2007</v>
      </c>
      <c r="K71" s="21">
        <v>2008</v>
      </c>
      <c r="L71" s="21">
        <v>2009</v>
      </c>
      <c r="M71" s="21">
        <v>2010</v>
      </c>
      <c r="N71" s="195">
        <v>2011</v>
      </c>
    </row>
    <row r="72" spans="1:16" outlineLevel="1" x14ac:dyDescent="0.25">
      <c r="A72" s="19" t="s">
        <v>22</v>
      </c>
      <c r="B72" s="8" t="s">
        <v>14</v>
      </c>
      <c r="C72" s="48">
        <v>5620</v>
      </c>
      <c r="D72" s="48">
        <v>5830</v>
      </c>
      <c r="E72" s="48">
        <v>6183</v>
      </c>
      <c r="F72" s="48">
        <v>6336</v>
      </c>
      <c r="G72" s="48">
        <v>7020</v>
      </c>
      <c r="H72" s="48">
        <v>7282</v>
      </c>
      <c r="I72" s="48">
        <v>7373</v>
      </c>
      <c r="J72" s="48">
        <v>7889</v>
      </c>
      <c r="K72" s="48">
        <v>7464</v>
      </c>
      <c r="L72" s="48">
        <v>8021</v>
      </c>
      <c r="M72" s="48">
        <v>8293</v>
      </c>
      <c r="N72" s="196">
        <v>8109</v>
      </c>
    </row>
    <row r="73" spans="1:16" outlineLevel="1" x14ac:dyDescent="0.25">
      <c r="A73" s="19" t="s">
        <v>23</v>
      </c>
      <c r="B73" s="8" t="s">
        <v>14</v>
      </c>
      <c r="C73" s="64">
        <v>5544</v>
      </c>
      <c r="D73" s="64">
        <v>5883</v>
      </c>
      <c r="E73" s="48">
        <v>6135</v>
      </c>
      <c r="F73" s="48">
        <v>6368</v>
      </c>
      <c r="G73" s="48">
        <v>6818</v>
      </c>
      <c r="H73" s="48">
        <v>7298</v>
      </c>
      <c r="I73" s="48">
        <v>7649</v>
      </c>
      <c r="J73" s="48">
        <v>7950</v>
      </c>
      <c r="K73" s="48">
        <v>8032</v>
      </c>
      <c r="L73" s="48">
        <v>8439</v>
      </c>
      <c r="M73" s="48">
        <v>8621</v>
      </c>
      <c r="N73" s="196">
        <v>8700</v>
      </c>
    </row>
    <row r="74" spans="1:16" outlineLevel="1" x14ac:dyDescent="0.25">
      <c r="A74" s="182" t="s">
        <v>27</v>
      </c>
      <c r="B74" s="202" t="s">
        <v>94</v>
      </c>
      <c r="C74" s="183">
        <f>C73/C72</f>
        <v>0.98647686832740211</v>
      </c>
      <c r="D74" s="183">
        <f t="shared" ref="D74:N74" si="7">D73/D72</f>
        <v>1.009090909090909</v>
      </c>
      <c r="E74" s="183">
        <f t="shared" si="7"/>
        <v>0.99223677826297918</v>
      </c>
      <c r="F74" s="183">
        <f t="shared" si="7"/>
        <v>1.005050505050505</v>
      </c>
      <c r="G74" s="183">
        <f t="shared" si="7"/>
        <v>0.97122507122507118</v>
      </c>
      <c r="H74" s="183">
        <f t="shared" si="7"/>
        <v>1.002197198571821</v>
      </c>
      <c r="I74" s="184">
        <f t="shared" si="7"/>
        <v>1.0374338803743388</v>
      </c>
      <c r="J74" s="184">
        <f t="shared" si="7"/>
        <v>1.0077322854607682</v>
      </c>
      <c r="K74" s="184">
        <f t="shared" si="7"/>
        <v>1.0760986066452305</v>
      </c>
      <c r="L74" s="184">
        <f t="shared" si="7"/>
        <v>1.0521132028425384</v>
      </c>
      <c r="M74" s="184">
        <f t="shared" si="7"/>
        <v>1.0395514289159533</v>
      </c>
      <c r="N74" s="197">
        <f t="shared" si="7"/>
        <v>1.0728819829818721</v>
      </c>
    </row>
    <row r="75" spans="1:16" outlineLevel="1" x14ac:dyDescent="0.25">
      <c r="A75" s="20"/>
      <c r="B75" s="186"/>
      <c r="C75" s="249" t="s">
        <v>115</v>
      </c>
      <c r="D75" s="249"/>
      <c r="E75" s="249"/>
      <c r="F75" s="249"/>
      <c r="G75" s="249"/>
      <c r="H75" s="249"/>
      <c r="I75" s="249"/>
      <c r="J75" s="249"/>
      <c r="K75" s="249"/>
      <c r="L75" s="249"/>
      <c r="M75" s="249"/>
      <c r="N75" s="250"/>
    </row>
    <row r="76" spans="1:16" outlineLevel="1" x14ac:dyDescent="0.25">
      <c r="A76" s="128" t="s">
        <v>6</v>
      </c>
      <c r="B76" s="187" t="s">
        <v>1</v>
      </c>
      <c r="C76" s="191"/>
      <c r="D76" s="191"/>
      <c r="E76" s="191"/>
      <c r="F76" s="191"/>
      <c r="G76" s="191"/>
      <c r="H76" s="191"/>
      <c r="I76" s="129">
        <f t="shared" ref="I76:N79" si="8">I6*I$74</f>
        <v>0.46511770286264159</v>
      </c>
      <c r="J76" s="129">
        <f t="shared" si="8"/>
        <v>0.43280226930312871</v>
      </c>
      <c r="K76" s="129">
        <f t="shared" si="8"/>
        <v>0.40496725052939575</v>
      </c>
      <c r="L76" s="129">
        <f t="shared" si="8"/>
        <v>0.39319566723682481</v>
      </c>
      <c r="M76" s="129">
        <f t="shared" si="8"/>
        <v>0.37732557013440415</v>
      </c>
      <c r="N76" s="133">
        <f t="shared" si="8"/>
        <v>0.3980121718625903</v>
      </c>
    </row>
    <row r="77" spans="1:16" outlineLevel="1" x14ac:dyDescent="0.25">
      <c r="A77" s="114"/>
      <c r="B77" s="188" t="s">
        <v>15</v>
      </c>
      <c r="C77" s="127">
        <f>C7*C$74</f>
        <v>0.49177749167733237</v>
      </c>
      <c r="D77" s="192"/>
      <c r="E77" s="192"/>
      <c r="F77" s="192"/>
      <c r="G77" s="192"/>
      <c r="H77" s="192"/>
      <c r="I77" s="127">
        <f t="shared" si="8"/>
        <v>0.46826525783095474</v>
      </c>
      <c r="J77" s="127">
        <f t="shared" si="8"/>
        <v>0.43496303063113334</v>
      </c>
      <c r="K77" s="127">
        <f t="shared" si="8"/>
        <v>0.41530325593595463</v>
      </c>
      <c r="L77" s="127">
        <f t="shared" si="8"/>
        <v>0.40173782813371933</v>
      </c>
      <c r="M77" s="127">
        <f t="shared" si="8"/>
        <v>0.38263151562536279</v>
      </c>
      <c r="N77" s="135">
        <f t="shared" si="8"/>
        <v>0.40924536519240545</v>
      </c>
    </row>
    <row r="78" spans="1:16" outlineLevel="1" x14ac:dyDescent="0.25">
      <c r="A78" s="130"/>
      <c r="B78" s="189" t="s">
        <v>18</v>
      </c>
      <c r="C78" s="193"/>
      <c r="D78" s="193"/>
      <c r="E78" s="193"/>
      <c r="F78" s="193"/>
      <c r="G78" s="193"/>
      <c r="H78" s="193"/>
      <c r="I78" s="131">
        <f t="shared" si="8"/>
        <v>0.45440392366880289</v>
      </c>
      <c r="J78" s="131">
        <f t="shared" si="8"/>
        <v>0.42566643528178177</v>
      </c>
      <c r="K78" s="131">
        <f t="shared" si="8"/>
        <v>0.36773969191312061</v>
      </c>
      <c r="L78" s="131">
        <f t="shared" si="8"/>
        <v>0.36270574230007907</v>
      </c>
      <c r="M78" s="131">
        <f t="shared" si="8"/>
        <v>0.3583868166163563</v>
      </c>
      <c r="N78" s="134">
        <f t="shared" si="8"/>
        <v>0.35423187943794265</v>
      </c>
    </row>
    <row r="79" spans="1:16" outlineLevel="1" x14ac:dyDescent="0.25">
      <c r="A79" s="114" t="s">
        <v>17</v>
      </c>
      <c r="B79" s="188" t="s">
        <v>1</v>
      </c>
      <c r="C79" s="127">
        <f>C9*C$74</f>
        <v>0.30187028925266368</v>
      </c>
      <c r="D79" s="192"/>
      <c r="E79" s="192"/>
      <c r="F79" s="192"/>
      <c r="G79" s="192"/>
      <c r="H79" s="192"/>
      <c r="I79" s="127">
        <f t="shared" si="8"/>
        <v>0.37944790687421354</v>
      </c>
      <c r="J79" s="127">
        <f t="shared" si="8"/>
        <v>0.35773223393950715</v>
      </c>
      <c r="K79" s="127">
        <f t="shared" si="8"/>
        <v>0.30216568422323997</v>
      </c>
      <c r="L79" s="127">
        <f t="shared" si="8"/>
        <v>0.29717414518947177</v>
      </c>
      <c r="M79" s="127">
        <f t="shared" si="8"/>
        <v>0.29687148415041098</v>
      </c>
      <c r="N79" s="135">
        <f t="shared" si="8"/>
        <v>0.29128880481718039</v>
      </c>
    </row>
    <row r="80" spans="1:16" outlineLevel="1" x14ac:dyDescent="0.25">
      <c r="A80" s="65"/>
      <c r="B80" s="190"/>
      <c r="C80" s="181"/>
      <c r="D80" s="180"/>
      <c r="E80" s="180"/>
      <c r="F80" s="180"/>
      <c r="G80" s="180"/>
      <c r="H80" s="180"/>
      <c r="I80" s="181"/>
      <c r="J80" s="181"/>
      <c r="K80" s="181"/>
      <c r="L80" s="181"/>
      <c r="M80" s="181"/>
      <c r="N80" s="198"/>
    </row>
    <row r="81" spans="1:14" outlineLevel="1" x14ac:dyDescent="0.25">
      <c r="A81" s="20" t="s">
        <v>141</v>
      </c>
      <c r="B81" s="7"/>
      <c r="C81" s="51"/>
      <c r="D81" s="7"/>
      <c r="E81" s="7"/>
      <c r="F81" s="7"/>
      <c r="G81" s="7"/>
      <c r="H81" s="7"/>
      <c r="I81" s="7"/>
      <c r="J81" s="7"/>
      <c r="K81" s="7"/>
      <c r="L81" s="7"/>
      <c r="M81" s="7"/>
      <c r="N81" s="18"/>
    </row>
    <row r="82" spans="1:14" outlineLevel="1" x14ac:dyDescent="0.25">
      <c r="A82" s="209"/>
      <c r="B82" s="167"/>
      <c r="C82" s="210"/>
      <c r="D82" s="167"/>
      <c r="E82" s="167"/>
      <c r="F82" s="167"/>
      <c r="G82" s="167"/>
      <c r="H82" s="167"/>
      <c r="I82" s="167"/>
      <c r="J82" s="167"/>
      <c r="K82" s="167"/>
      <c r="L82" s="167"/>
      <c r="M82" s="167"/>
      <c r="N82" s="208"/>
    </row>
    <row r="83" spans="1:14" outlineLevel="1" x14ac:dyDescent="0.25">
      <c r="A83" s="209"/>
      <c r="B83" s="167"/>
      <c r="C83" s="210"/>
      <c r="D83" s="167"/>
      <c r="E83" s="167"/>
      <c r="F83" s="167"/>
      <c r="G83" s="167"/>
      <c r="H83" s="167"/>
      <c r="I83" s="167"/>
      <c r="J83" s="167"/>
      <c r="K83" s="167"/>
      <c r="L83" s="167"/>
      <c r="M83" s="167"/>
      <c r="N83" s="208"/>
    </row>
    <row r="84" spans="1:14" outlineLevel="1" x14ac:dyDescent="0.25">
      <c r="A84" s="209"/>
      <c r="B84" s="167"/>
      <c r="C84" s="210"/>
      <c r="D84" s="167"/>
      <c r="E84" s="167"/>
      <c r="F84" s="167"/>
      <c r="G84" s="167"/>
      <c r="H84" s="167"/>
      <c r="I84" s="167"/>
      <c r="J84" s="167"/>
      <c r="K84" s="167"/>
      <c r="L84" s="167"/>
      <c r="M84" s="167"/>
      <c r="N84" s="208"/>
    </row>
    <row r="85" spans="1:14" outlineLevel="1" x14ac:dyDescent="0.25">
      <c r="A85" s="209"/>
      <c r="B85" s="167"/>
      <c r="C85" s="210"/>
      <c r="D85" s="167"/>
      <c r="E85" s="167"/>
      <c r="F85" s="167"/>
      <c r="G85" s="167"/>
      <c r="H85" s="167"/>
      <c r="I85" s="167"/>
      <c r="J85" s="167"/>
      <c r="K85" s="167"/>
      <c r="L85" s="167"/>
      <c r="M85" s="167"/>
      <c r="N85" s="208"/>
    </row>
    <row r="86" spans="1:14" outlineLevel="1" x14ac:dyDescent="0.25">
      <c r="A86" s="209"/>
      <c r="B86" s="167"/>
      <c r="C86" s="210"/>
      <c r="D86" s="167"/>
      <c r="E86" s="167"/>
      <c r="F86" s="167"/>
      <c r="G86" s="167"/>
      <c r="H86" s="167"/>
      <c r="I86" s="167"/>
      <c r="J86" s="167"/>
      <c r="K86" s="167"/>
      <c r="L86" s="167"/>
      <c r="M86" s="167"/>
      <c r="N86" s="208"/>
    </row>
    <row r="87" spans="1:14" outlineLevel="1" x14ac:dyDescent="0.25">
      <c r="A87" s="211"/>
      <c r="B87" s="169"/>
      <c r="C87" s="212"/>
      <c r="D87" s="169"/>
      <c r="E87" s="169"/>
      <c r="F87" s="169"/>
      <c r="G87" s="169"/>
      <c r="H87" s="169"/>
      <c r="I87" s="169"/>
      <c r="J87" s="169"/>
      <c r="K87" s="169"/>
      <c r="L87" s="169"/>
      <c r="M87" s="169"/>
      <c r="N87" s="213"/>
    </row>
    <row r="88" spans="1:14" outlineLevel="1" x14ac:dyDescent="0.25">
      <c r="A88" s="20" t="s">
        <v>95</v>
      </c>
      <c r="B88" s="7"/>
      <c r="C88" s="7"/>
      <c r="D88" s="7"/>
      <c r="E88" s="7"/>
      <c r="F88" s="7"/>
      <c r="G88" s="7"/>
      <c r="H88" s="7"/>
      <c r="I88" s="7"/>
      <c r="J88" s="7"/>
      <c r="K88" s="7"/>
      <c r="L88" s="7"/>
      <c r="M88" s="7"/>
      <c r="N88" s="18"/>
    </row>
    <row r="89" spans="1:14" outlineLevel="1" x14ac:dyDescent="0.25">
      <c r="A89" s="20"/>
      <c r="B89" s="7" t="s">
        <v>28</v>
      </c>
      <c r="C89" s="50">
        <f>C72/I72</f>
        <v>0.76224060762240609</v>
      </c>
      <c r="D89" s="61" t="s">
        <v>116</v>
      </c>
      <c r="E89" s="7"/>
      <c r="F89" s="7"/>
      <c r="G89" s="7"/>
      <c r="H89" s="7"/>
      <c r="I89" s="7"/>
      <c r="J89" s="7"/>
      <c r="K89" s="7"/>
      <c r="L89" s="7"/>
      <c r="M89" s="7"/>
      <c r="N89" s="18"/>
    </row>
    <row r="90" spans="1:14" outlineLevel="1" x14ac:dyDescent="0.25">
      <c r="A90" s="19"/>
      <c r="B90" s="7"/>
      <c r="C90" s="7"/>
      <c r="D90" s="7"/>
      <c r="E90" s="7"/>
      <c r="F90" s="7"/>
      <c r="G90" s="7"/>
      <c r="H90" s="7"/>
      <c r="I90" s="7"/>
      <c r="J90" s="7"/>
      <c r="K90" s="7"/>
      <c r="L90" s="7"/>
      <c r="M90" s="7"/>
      <c r="N90" s="18"/>
    </row>
    <row r="91" spans="1:14" outlineLevel="1" x14ac:dyDescent="0.25">
      <c r="A91" s="20"/>
      <c r="B91" s="126" t="s">
        <v>29</v>
      </c>
      <c r="C91" s="121" t="s">
        <v>8</v>
      </c>
      <c r="D91" s="7" t="s">
        <v>97</v>
      </c>
      <c r="E91" s="7"/>
      <c r="F91" s="7"/>
      <c r="G91" s="7"/>
      <c r="H91" s="7"/>
      <c r="I91" s="7"/>
      <c r="J91" s="7"/>
      <c r="K91" s="7"/>
      <c r="L91" s="7"/>
      <c r="M91" s="7"/>
      <c r="N91" s="18"/>
    </row>
    <row r="92" spans="1:14" outlineLevel="1" x14ac:dyDescent="0.25">
      <c r="A92" s="20" t="s">
        <v>100</v>
      </c>
      <c r="B92" s="126" t="s">
        <v>96</v>
      </c>
      <c r="C92" s="62">
        <v>4667</v>
      </c>
      <c r="D92" s="52">
        <f>(I31-C92)/I31</f>
        <v>0.69014739078475629</v>
      </c>
      <c r="E92" s="7"/>
      <c r="F92" s="7"/>
      <c r="G92" s="7"/>
      <c r="H92" s="7"/>
      <c r="I92" s="7"/>
      <c r="J92" s="7"/>
      <c r="K92" s="7"/>
      <c r="L92" s="7"/>
      <c r="M92" s="7"/>
      <c r="N92" s="18"/>
    </row>
    <row r="93" spans="1:14" outlineLevel="1" x14ac:dyDescent="0.25">
      <c r="A93" s="19"/>
      <c r="B93" s="126" t="s">
        <v>11</v>
      </c>
      <c r="C93" s="62">
        <v>7315</v>
      </c>
      <c r="D93" s="10">
        <f>(I33-C93)/I33</f>
        <v>0.9110670735413906</v>
      </c>
      <c r="E93" s="7"/>
      <c r="F93" s="7"/>
      <c r="G93" s="7"/>
      <c r="H93" s="7"/>
      <c r="I93" s="7"/>
      <c r="J93" s="7"/>
      <c r="K93" s="7"/>
      <c r="L93" s="7"/>
      <c r="M93" s="7"/>
      <c r="N93" s="18"/>
    </row>
    <row r="94" spans="1:14" outlineLevel="1" x14ac:dyDescent="0.25">
      <c r="A94" s="19"/>
      <c r="B94" s="7"/>
      <c r="C94" s="7"/>
      <c r="D94" s="7"/>
      <c r="E94" s="7"/>
      <c r="F94" s="7"/>
      <c r="G94" s="7"/>
      <c r="H94" s="7"/>
      <c r="I94" s="7"/>
      <c r="J94" s="7"/>
      <c r="K94" s="7"/>
      <c r="L94" s="7"/>
      <c r="M94" s="7"/>
      <c r="N94" s="18"/>
    </row>
    <row r="95" spans="1:14" outlineLevel="1" x14ac:dyDescent="0.25">
      <c r="A95" s="19"/>
      <c r="B95" s="62" t="s">
        <v>98</v>
      </c>
      <c r="C95" s="7"/>
      <c r="D95" s="7"/>
      <c r="E95" s="7"/>
      <c r="F95" s="7"/>
      <c r="G95" s="7"/>
      <c r="H95" s="7"/>
      <c r="I95" s="7"/>
      <c r="J95" s="7"/>
      <c r="K95" s="7"/>
      <c r="L95" s="7"/>
      <c r="M95" s="7"/>
      <c r="N95" s="18"/>
    </row>
    <row r="96" spans="1:14" outlineLevel="1" x14ac:dyDescent="0.25">
      <c r="A96" s="19"/>
      <c r="B96" s="126" t="s">
        <v>96</v>
      </c>
      <c r="C96" s="127">
        <f>I7*C89/D92</f>
        <v>0.49851903016352955</v>
      </c>
      <c r="D96" s="7"/>
      <c r="E96" s="7"/>
      <c r="F96" s="7"/>
      <c r="G96" s="7"/>
      <c r="H96" s="7"/>
      <c r="I96" s="7"/>
      <c r="J96" s="7"/>
      <c r="K96" s="7"/>
      <c r="L96" s="7"/>
      <c r="M96" s="7"/>
      <c r="N96" s="18"/>
    </row>
    <row r="97" spans="1:14" outlineLevel="1" x14ac:dyDescent="0.25">
      <c r="A97" s="19"/>
      <c r="B97" s="126" t="s">
        <v>11</v>
      </c>
      <c r="C97" s="63">
        <f>I9*C89/D93</f>
        <v>0.30600848225107685</v>
      </c>
      <c r="D97" s="7"/>
      <c r="E97" s="7"/>
      <c r="F97" s="7"/>
      <c r="G97" s="7"/>
      <c r="H97" s="7"/>
      <c r="I97" s="7"/>
      <c r="J97" s="7"/>
      <c r="K97" s="7"/>
      <c r="L97" s="7"/>
      <c r="M97" s="7"/>
      <c r="N97" s="18"/>
    </row>
    <row r="98" spans="1:14" outlineLevel="1" x14ac:dyDescent="0.25">
      <c r="A98" s="25"/>
      <c r="B98" s="14"/>
      <c r="C98" s="14"/>
      <c r="D98" s="14"/>
      <c r="E98" s="14"/>
      <c r="F98" s="14"/>
      <c r="G98" s="14"/>
      <c r="H98" s="14"/>
      <c r="I98" s="14"/>
      <c r="J98" s="14"/>
      <c r="K98" s="14"/>
      <c r="L98" s="14"/>
      <c r="M98" s="14"/>
      <c r="N98" s="26"/>
    </row>
    <row r="99" spans="1:14" outlineLevel="1" x14ac:dyDescent="0.25">
      <c r="A99" s="20" t="s">
        <v>55</v>
      </c>
      <c r="B99" s="7"/>
      <c r="C99" s="7"/>
      <c r="D99" s="7"/>
      <c r="E99" s="7"/>
      <c r="F99" s="7"/>
      <c r="G99" s="7"/>
      <c r="H99" s="7"/>
      <c r="I99" s="7"/>
      <c r="J99" s="7"/>
      <c r="K99" s="7"/>
      <c r="L99" s="7"/>
      <c r="M99" s="7"/>
      <c r="N99" s="18"/>
    </row>
    <row r="100" spans="1:14" outlineLevel="1" x14ac:dyDescent="0.25">
      <c r="A100" s="65" t="s">
        <v>57</v>
      </c>
      <c r="B100" s="66" t="s">
        <v>58</v>
      </c>
      <c r="C100" s="14" t="s">
        <v>37</v>
      </c>
      <c r="D100" s="14" t="s">
        <v>38</v>
      </c>
      <c r="E100" s="7"/>
      <c r="F100" s="7"/>
      <c r="G100" s="7"/>
      <c r="H100" s="7"/>
      <c r="I100" s="7"/>
      <c r="J100" s="7"/>
      <c r="K100" s="7"/>
      <c r="L100" s="7"/>
      <c r="M100" s="7"/>
      <c r="N100" s="18"/>
    </row>
    <row r="101" spans="1:14" outlineLevel="1" x14ac:dyDescent="0.25">
      <c r="A101" s="19" t="s">
        <v>34</v>
      </c>
      <c r="B101" s="46">
        <f>1+J101</f>
        <v>1.0740000000000001</v>
      </c>
      <c r="C101" s="7">
        <v>1</v>
      </c>
      <c r="D101" s="7">
        <v>1</v>
      </c>
      <c r="E101" s="7"/>
      <c r="F101" s="215" t="s">
        <v>54</v>
      </c>
      <c r="G101" s="216"/>
      <c r="H101" s="216"/>
      <c r="I101" s="216"/>
      <c r="J101" s="217">
        <v>7.3999999999999996E-2</v>
      </c>
      <c r="K101" s="216"/>
      <c r="L101" s="218"/>
      <c r="M101" s="7"/>
      <c r="N101" s="18"/>
    </row>
    <row r="102" spans="1:14" outlineLevel="1" x14ac:dyDescent="0.25">
      <c r="A102" s="19" t="s">
        <v>35</v>
      </c>
      <c r="B102" s="46">
        <f>(1-L109/100)</f>
        <v>0.91500000000000004</v>
      </c>
      <c r="C102" s="7">
        <v>1</v>
      </c>
      <c r="D102" s="7">
        <v>1</v>
      </c>
      <c r="E102" s="7"/>
      <c r="F102" s="60" t="s">
        <v>117</v>
      </c>
      <c r="G102" s="7"/>
      <c r="H102" s="7"/>
      <c r="I102" s="7"/>
      <c r="J102" s="7"/>
      <c r="K102" s="7"/>
      <c r="L102" s="8"/>
      <c r="M102" s="7"/>
      <c r="N102" s="18"/>
    </row>
    <row r="103" spans="1:14" outlineLevel="1" x14ac:dyDescent="0.25">
      <c r="A103" s="19" t="s">
        <v>36</v>
      </c>
      <c r="B103" s="46">
        <f>1/(1+G104)</f>
        <v>0.86956521739130443</v>
      </c>
      <c r="C103" s="7"/>
      <c r="D103" s="7">
        <v>1</v>
      </c>
      <c r="E103" s="7"/>
      <c r="F103" s="6" t="s">
        <v>118</v>
      </c>
      <c r="G103" s="7"/>
      <c r="H103" s="7"/>
      <c r="I103" s="7"/>
      <c r="J103" s="7"/>
      <c r="K103" s="7"/>
      <c r="L103" s="8"/>
      <c r="M103" s="7"/>
      <c r="N103" s="18"/>
    </row>
    <row r="104" spans="1:14" ht="16.5" outlineLevel="1" thickBot="1" x14ac:dyDescent="0.3">
      <c r="A104" s="203" t="s">
        <v>59</v>
      </c>
      <c r="B104" s="204"/>
      <c r="C104" s="67">
        <f>IF(C101=1,B101,1)*IF(C102=1,B102,1)</f>
        <v>0.98271000000000008</v>
      </c>
      <c r="D104" s="67">
        <f>IF(D101=1,B101,1)*IF(D102=1,B102,1)*IF(D103=1,B103,1)</f>
        <v>0.85453043478260882</v>
      </c>
      <c r="E104" s="7"/>
      <c r="F104" s="89" t="s">
        <v>32</v>
      </c>
      <c r="G104" s="179">
        <v>0.15</v>
      </c>
      <c r="H104" s="214" t="s">
        <v>56</v>
      </c>
      <c r="I104" s="14"/>
      <c r="J104" s="14"/>
      <c r="K104" s="14"/>
      <c r="L104" s="79"/>
      <c r="M104" s="7"/>
      <c r="N104" s="18"/>
    </row>
    <row r="105" spans="1:14" ht="16.5" outlineLevel="1" thickTop="1" x14ac:dyDescent="0.25">
      <c r="A105" s="19"/>
      <c r="B105" s="7"/>
      <c r="C105" s="7"/>
      <c r="D105" s="7"/>
      <c r="E105" s="7"/>
      <c r="F105" s="7"/>
      <c r="G105" s="7"/>
      <c r="H105" s="7"/>
      <c r="I105" s="7"/>
      <c r="J105" s="7"/>
      <c r="K105" s="7"/>
      <c r="L105" s="7"/>
      <c r="M105" s="7"/>
      <c r="N105" s="18"/>
    </row>
    <row r="106" spans="1:14" outlineLevel="1" x14ac:dyDescent="0.25">
      <c r="A106" s="19"/>
      <c r="B106" s="7"/>
      <c r="C106" s="7"/>
      <c r="D106" s="7"/>
      <c r="E106" s="7"/>
      <c r="F106" s="7"/>
      <c r="G106" s="7"/>
      <c r="H106" s="7"/>
      <c r="I106" s="7"/>
      <c r="J106" s="7"/>
      <c r="K106" s="7"/>
      <c r="L106" s="7"/>
      <c r="M106" s="7"/>
      <c r="N106" s="18"/>
    </row>
    <row r="107" spans="1:14" outlineLevel="1" x14ac:dyDescent="0.25">
      <c r="A107" s="20" t="s">
        <v>111</v>
      </c>
      <c r="B107" s="7"/>
      <c r="C107" s="7"/>
      <c r="D107" s="125"/>
      <c r="E107" s="244" t="s">
        <v>49</v>
      </c>
      <c r="F107" s="244"/>
      <c r="G107" s="244"/>
      <c r="H107" s="244"/>
      <c r="I107" s="244"/>
      <c r="J107" s="244"/>
      <c r="K107" s="244"/>
      <c r="L107" s="7"/>
      <c r="M107" s="7"/>
      <c r="N107" s="18"/>
    </row>
    <row r="108" spans="1:14" outlineLevel="1" x14ac:dyDescent="0.25">
      <c r="A108" s="57"/>
      <c r="B108" s="7"/>
      <c r="C108" s="7"/>
      <c r="D108" s="121" t="s">
        <v>107</v>
      </c>
      <c r="E108" s="7">
        <v>1999</v>
      </c>
      <c r="F108" s="7" t="s">
        <v>20</v>
      </c>
      <c r="G108" s="7" t="s">
        <v>24</v>
      </c>
      <c r="H108" s="7" t="s">
        <v>25</v>
      </c>
      <c r="I108" s="7" t="s">
        <v>26</v>
      </c>
      <c r="J108" s="7" t="s">
        <v>10</v>
      </c>
      <c r="K108" s="7" t="s">
        <v>21</v>
      </c>
      <c r="L108" s="7" t="s">
        <v>7</v>
      </c>
      <c r="M108" s="7"/>
      <c r="N108" s="18"/>
    </row>
    <row r="109" spans="1:14" outlineLevel="1" x14ac:dyDescent="0.25">
      <c r="A109" s="20"/>
      <c r="B109" s="7"/>
      <c r="C109" s="7"/>
      <c r="D109" s="121" t="s">
        <v>104</v>
      </c>
      <c r="E109" s="7">
        <v>4</v>
      </c>
      <c r="F109" s="7">
        <v>4</v>
      </c>
      <c r="G109" s="7">
        <v>10</v>
      </c>
      <c r="H109" s="7">
        <v>7</v>
      </c>
      <c r="I109" s="7">
        <v>8</v>
      </c>
      <c r="J109">
        <f t="shared" ref="J109" si="9">(I109+K109)/2</f>
        <v>10</v>
      </c>
      <c r="K109" s="7">
        <v>12</v>
      </c>
      <c r="L109" s="9">
        <f t="shared" ref="L109" si="10">AVERAGE(F109:K109)</f>
        <v>8.5</v>
      </c>
      <c r="M109" s="7"/>
      <c r="N109" s="18"/>
    </row>
    <row r="110" spans="1:14" outlineLevel="1" x14ac:dyDescent="0.25">
      <c r="A110" s="19"/>
      <c r="B110" s="21"/>
      <c r="C110" s="7"/>
      <c r="D110" s="7"/>
      <c r="E110" s="7"/>
      <c r="F110" s="7"/>
      <c r="G110" s="7"/>
      <c r="H110" s="7"/>
      <c r="I110" s="7"/>
      <c r="J110" s="7"/>
      <c r="K110" s="7"/>
      <c r="L110" s="7"/>
      <c r="M110" s="7"/>
      <c r="N110" s="18"/>
    </row>
    <row r="111" spans="1:14" outlineLevel="1" x14ac:dyDescent="0.25">
      <c r="A111" s="20" t="s">
        <v>102</v>
      </c>
      <c r="B111" s="7"/>
      <c r="C111" s="7"/>
      <c r="D111" s="7"/>
      <c r="E111" s="7"/>
      <c r="F111" s="7"/>
      <c r="G111" s="7"/>
      <c r="H111" s="7"/>
      <c r="I111" s="7"/>
      <c r="J111" s="7"/>
      <c r="K111" s="7"/>
      <c r="L111" s="7"/>
      <c r="M111" s="7"/>
      <c r="N111" s="18"/>
    </row>
    <row r="112" spans="1:14" outlineLevel="1" x14ac:dyDescent="0.25">
      <c r="A112" s="19"/>
      <c r="B112" s="126" t="s">
        <v>108</v>
      </c>
      <c r="C112" s="7">
        <v>2000</v>
      </c>
      <c r="D112" s="7">
        <v>2001</v>
      </c>
      <c r="E112" s="7">
        <v>2002</v>
      </c>
      <c r="F112" s="7">
        <v>2003</v>
      </c>
      <c r="G112" s="7">
        <v>2004</v>
      </c>
      <c r="H112" s="7">
        <v>2005</v>
      </c>
      <c r="I112" s="7">
        <v>2006</v>
      </c>
      <c r="J112" s="7">
        <v>2007</v>
      </c>
      <c r="K112" s="7">
        <v>2008</v>
      </c>
      <c r="L112" s="7">
        <v>2009</v>
      </c>
      <c r="M112" s="7">
        <v>2010</v>
      </c>
      <c r="N112" s="18">
        <v>2011</v>
      </c>
    </row>
    <row r="113" spans="1:14" outlineLevel="1" x14ac:dyDescent="0.25">
      <c r="A113" s="19"/>
      <c r="B113" s="121" t="s">
        <v>9</v>
      </c>
      <c r="C113" s="7">
        <v>0</v>
      </c>
      <c r="D113" s="7">
        <v>6580</v>
      </c>
      <c r="E113" s="7">
        <v>7002</v>
      </c>
      <c r="F113" s="7">
        <v>7082</v>
      </c>
      <c r="G113" s="7">
        <v>7912</v>
      </c>
      <c r="H113" s="7">
        <v>8176</v>
      </c>
      <c r="I113" s="7">
        <v>8280</v>
      </c>
      <c r="J113" s="7">
        <v>8673</v>
      </c>
      <c r="K113" s="7">
        <v>8177</v>
      </c>
      <c r="L113" s="7">
        <v>8812</v>
      </c>
      <c r="M113" s="7">
        <v>9070</v>
      </c>
      <c r="N113" s="18">
        <v>9702</v>
      </c>
    </row>
    <row r="114" spans="1:14" outlineLevel="1" x14ac:dyDescent="0.25">
      <c r="A114" s="19"/>
      <c r="B114" s="121" t="s">
        <v>101</v>
      </c>
      <c r="C114" s="167"/>
      <c r="D114" s="167"/>
      <c r="E114" s="167"/>
      <c r="F114" s="167"/>
      <c r="G114" s="7">
        <v>11516</v>
      </c>
      <c r="H114" s="7">
        <v>11902</v>
      </c>
      <c r="I114" s="7">
        <v>11939</v>
      </c>
      <c r="J114" s="7">
        <v>12132</v>
      </c>
      <c r="K114" s="7">
        <v>12671</v>
      </c>
      <c r="L114" s="7">
        <v>13106</v>
      </c>
      <c r="M114" s="167"/>
      <c r="N114" s="208"/>
    </row>
    <row r="115" spans="1:14" outlineLevel="1" x14ac:dyDescent="0.25">
      <c r="A115" s="19"/>
      <c r="B115" s="121" t="s">
        <v>105</v>
      </c>
      <c r="C115" s="167"/>
      <c r="D115" s="167"/>
      <c r="E115" s="167"/>
      <c r="F115" s="167"/>
      <c r="G115" s="16">
        <f t="shared" ref="G115:L115" si="11">G113/G114</f>
        <v>0.68704411253907605</v>
      </c>
      <c r="H115" s="16">
        <f t="shared" si="11"/>
        <v>0.68694337086204005</v>
      </c>
      <c r="I115" s="16">
        <f t="shared" si="11"/>
        <v>0.69352542088952174</v>
      </c>
      <c r="J115" s="16">
        <f t="shared" si="11"/>
        <v>0.71488625123639959</v>
      </c>
      <c r="K115" s="16">
        <f t="shared" si="11"/>
        <v>0.64533186015310551</v>
      </c>
      <c r="L115" s="16">
        <f t="shared" si="11"/>
        <v>0.67236380283839459</v>
      </c>
      <c r="M115" s="167"/>
      <c r="N115" s="208"/>
    </row>
    <row r="116" spans="1:14" outlineLevel="1" x14ac:dyDescent="0.25">
      <c r="A116" s="19"/>
      <c r="B116" s="7"/>
      <c r="C116" s="7"/>
      <c r="D116" s="7"/>
      <c r="E116" s="7"/>
      <c r="F116" s="7"/>
      <c r="G116" s="7"/>
      <c r="H116" s="7"/>
      <c r="I116" s="7"/>
      <c r="J116" s="7"/>
      <c r="K116" s="7"/>
      <c r="L116" s="7"/>
      <c r="M116" s="7"/>
      <c r="N116" s="18"/>
    </row>
    <row r="117" spans="1:14" outlineLevel="1" x14ac:dyDescent="0.25">
      <c r="A117" s="19" t="s">
        <v>109</v>
      </c>
      <c r="B117" s="7"/>
      <c r="C117" s="7"/>
      <c r="D117" s="16">
        <f>SUM(H113:L113)/SUM(H114:L114)</f>
        <v>0.68207287449392717</v>
      </c>
      <c r="E117" s="7" t="s">
        <v>106</v>
      </c>
      <c r="F117" s="7"/>
      <c r="G117" s="7"/>
      <c r="H117" s="7"/>
      <c r="I117" s="7"/>
      <c r="J117" s="7"/>
      <c r="K117" s="7"/>
      <c r="L117" s="7"/>
      <c r="M117" s="7"/>
      <c r="N117" s="18"/>
    </row>
    <row r="118" spans="1:14" ht="16.5" outlineLevel="1" thickBot="1" x14ac:dyDescent="0.3">
      <c r="A118" s="22"/>
      <c r="B118" s="23"/>
      <c r="C118" s="23"/>
      <c r="D118" s="23"/>
      <c r="E118" s="23"/>
      <c r="F118" s="23"/>
      <c r="G118" s="23"/>
      <c r="H118" s="23"/>
      <c r="I118" s="219"/>
      <c r="J118" s="219"/>
      <c r="K118" s="219"/>
      <c r="L118" s="219"/>
      <c r="M118" s="219"/>
      <c r="N118" s="220"/>
    </row>
  </sheetData>
  <mergeCells count="12">
    <mergeCell ref="E107:K107"/>
    <mergeCell ref="C4:N4"/>
    <mergeCell ref="C5:N5"/>
    <mergeCell ref="O8:P8"/>
    <mergeCell ref="C17:N17"/>
    <mergeCell ref="C29:N29"/>
    <mergeCell ref="C41:N41"/>
    <mergeCell ref="C50:N50"/>
    <mergeCell ref="C59:N59"/>
    <mergeCell ref="C60:N60"/>
    <mergeCell ref="C64:N64"/>
    <mergeCell ref="C75:N75"/>
  </mergeCells>
  <pageMargins left="0.75" right="0.75" top="1" bottom="1" header="0.5" footer="0.5"/>
  <pageSetup paperSize="9" orientation="portrait" horizontalDpi="4294967292" verticalDpi="4294967292"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enableFormatConditionsCalculation="0">
    <tabColor theme="5" tint="0.59999389629810485"/>
    <pageSetUpPr fitToPage="1"/>
  </sheetPr>
  <dimension ref="A1:AM126"/>
  <sheetViews>
    <sheetView zoomScale="70" zoomScaleNormal="70" workbookViewId="0">
      <selection activeCell="O116" sqref="O116"/>
    </sheetView>
  </sheetViews>
  <sheetFormatPr defaultColWidth="11" defaultRowHeight="15.75" outlineLevelRow="1" x14ac:dyDescent="0.25"/>
  <cols>
    <col min="21" max="21" width="11.125" bestFit="1" customWidth="1"/>
    <col min="22" max="22" width="12.625" bestFit="1" customWidth="1"/>
    <col min="23" max="25" width="11.125" bestFit="1" customWidth="1"/>
  </cols>
  <sheetData>
    <row r="1" spans="1:39" ht="34.5" outlineLevel="1" thickBot="1" x14ac:dyDescent="0.55000000000000004">
      <c r="A1" s="100" t="s">
        <v>74</v>
      </c>
      <c r="B1" s="28"/>
      <c r="C1" s="28"/>
      <c r="D1" s="28"/>
      <c r="E1" s="28"/>
      <c r="F1" s="28"/>
      <c r="G1" s="28"/>
      <c r="H1" s="28"/>
      <c r="I1" s="28"/>
      <c r="J1" s="28"/>
      <c r="K1" s="28"/>
      <c r="L1" s="28"/>
      <c r="M1" s="28"/>
      <c r="N1" s="28"/>
      <c r="O1" s="28"/>
      <c r="P1" s="28"/>
      <c r="Q1" s="28"/>
      <c r="R1" s="28"/>
      <c r="S1" s="28"/>
      <c r="T1" s="28"/>
      <c r="U1" s="28"/>
      <c r="V1" s="29"/>
    </row>
    <row r="2" spans="1:39" outlineLevel="1" x14ac:dyDescent="0.25">
      <c r="A2" s="82"/>
      <c r="B2" s="83"/>
      <c r="C2" s="84">
        <v>2000</v>
      </c>
      <c r="D2" s="84">
        <v>2001</v>
      </c>
      <c r="E2" s="84">
        <v>2002</v>
      </c>
      <c r="F2" s="84">
        <v>2003</v>
      </c>
      <c r="G2" s="84">
        <v>2004</v>
      </c>
      <c r="H2" s="84">
        <v>2005</v>
      </c>
      <c r="I2" s="84">
        <v>2006</v>
      </c>
      <c r="J2" s="84">
        <v>2007</v>
      </c>
      <c r="K2" s="84">
        <v>2008</v>
      </c>
      <c r="L2" s="84">
        <v>2009</v>
      </c>
      <c r="M2" s="84">
        <v>2010</v>
      </c>
      <c r="N2" s="85">
        <v>2011</v>
      </c>
      <c r="O2" s="115"/>
      <c r="P2" s="115"/>
      <c r="Q2" s="115"/>
      <c r="R2" s="115"/>
      <c r="S2" s="115"/>
      <c r="T2" s="116"/>
      <c r="U2" s="101" t="s">
        <v>62</v>
      </c>
      <c r="V2" s="102" t="s">
        <v>61</v>
      </c>
    </row>
    <row r="3" spans="1:39" ht="21" outlineLevel="1" x14ac:dyDescent="0.35">
      <c r="A3" s="73" t="s">
        <v>72</v>
      </c>
      <c r="B3" s="7"/>
      <c r="C3" s="7"/>
      <c r="D3" s="7"/>
      <c r="E3" s="7"/>
      <c r="F3" s="7"/>
      <c r="G3" s="7"/>
      <c r="H3" s="7"/>
      <c r="I3" s="7"/>
      <c r="J3" s="7"/>
      <c r="K3" s="7"/>
      <c r="L3" s="7"/>
      <c r="M3" s="7"/>
      <c r="N3" s="8"/>
      <c r="O3" s="117"/>
      <c r="P3" s="117"/>
      <c r="Q3" s="117"/>
      <c r="R3" s="117"/>
      <c r="S3" s="117"/>
      <c r="T3" s="118"/>
      <c r="U3" s="103"/>
      <c r="V3" s="104"/>
    </row>
    <row r="4" spans="1:39" outlineLevel="1" x14ac:dyDescent="0.25">
      <c r="A4" s="20" t="s">
        <v>6</v>
      </c>
      <c r="B4" s="7"/>
      <c r="C4" s="7"/>
      <c r="D4" s="7"/>
      <c r="E4" s="7"/>
      <c r="F4" s="7"/>
      <c r="G4" s="7"/>
      <c r="H4" s="7"/>
      <c r="I4" s="7"/>
      <c r="J4" s="7"/>
      <c r="K4" s="7"/>
      <c r="L4" s="7"/>
      <c r="M4" s="7"/>
      <c r="N4" s="8"/>
      <c r="O4" s="117"/>
      <c r="P4" s="117"/>
      <c r="Q4" s="117"/>
      <c r="R4" s="117"/>
      <c r="S4" s="117"/>
      <c r="T4" s="118"/>
      <c r="U4" s="103"/>
      <c r="V4" s="104"/>
    </row>
    <row r="5" spans="1:39" outlineLevel="1" x14ac:dyDescent="0.25">
      <c r="A5" s="19" t="s">
        <v>1</v>
      </c>
      <c r="B5" s="7" t="s">
        <v>3</v>
      </c>
      <c r="C5" s="112" t="str">
        <f t="shared" ref="C5:N7" ca="1" si="0">IF(INDIRECT(ADDRESS($V5,COLUMN(),1,TRUE,$B5))="","",INDIRECT(ADDRESS($V5,COLUMN(),1,TRUE,$B5)))</f>
        <v/>
      </c>
      <c r="D5" s="112" t="str">
        <f t="shared" ca="1" si="0"/>
        <v/>
      </c>
      <c r="E5" s="112" t="str">
        <f t="shared" ca="1" si="0"/>
        <v/>
      </c>
      <c r="F5" s="112" t="str">
        <f t="shared" ca="1" si="0"/>
        <v/>
      </c>
      <c r="G5" s="112" t="str">
        <f t="shared" ca="1" si="0"/>
        <v/>
      </c>
      <c r="H5" s="112" t="str">
        <f t="shared" ca="1" si="0"/>
        <v/>
      </c>
      <c r="I5" s="46">
        <f t="shared" ca="1" si="0"/>
        <v>0.58985303880327544</v>
      </c>
      <c r="J5" s="46">
        <f t="shared" ca="1" si="0"/>
        <v>0.66225751394349719</v>
      </c>
      <c r="K5" s="46">
        <f t="shared" ca="1" si="0"/>
        <v>0.62107250137989856</v>
      </c>
      <c r="L5" s="46">
        <f t="shared" ca="1" si="0"/>
        <v>0.63735980072383669</v>
      </c>
      <c r="M5" s="46">
        <f t="shared" ca="1" si="0"/>
        <v>0.58097266540380588</v>
      </c>
      <c r="N5" s="78">
        <f t="shared" ca="1" si="0"/>
        <v>0.56066253446574299</v>
      </c>
      <c r="O5" s="117"/>
      <c r="P5" s="117"/>
      <c r="Q5" s="117"/>
      <c r="R5" s="117"/>
      <c r="S5" s="117"/>
      <c r="T5" s="118"/>
      <c r="U5" s="103"/>
      <c r="V5" s="104">
        <v>6</v>
      </c>
      <c r="AK5" s="3"/>
      <c r="AL5" s="3"/>
      <c r="AM5" s="3"/>
    </row>
    <row r="6" spans="1:39" outlineLevel="1" x14ac:dyDescent="0.25">
      <c r="A6" s="19"/>
      <c r="B6" s="7" t="s">
        <v>4</v>
      </c>
      <c r="C6" s="112" t="str">
        <f t="shared" ca="1" si="0"/>
        <v/>
      </c>
      <c r="D6" s="112" t="str">
        <f t="shared" ca="1" si="0"/>
        <v/>
      </c>
      <c r="E6" s="112" t="str">
        <f t="shared" ca="1" si="0"/>
        <v/>
      </c>
      <c r="F6" s="112" t="str">
        <f t="shared" ca="1" si="0"/>
        <v/>
      </c>
      <c r="G6" s="112" t="str">
        <f t="shared" ca="1" si="0"/>
        <v/>
      </c>
      <c r="H6" s="112" t="str">
        <f t="shared" ca="1" si="0"/>
        <v/>
      </c>
      <c r="I6" s="46">
        <f t="shared" ca="1" si="0"/>
        <v>0.47975508237226705</v>
      </c>
      <c r="J6" s="46">
        <f t="shared" ca="1" si="0"/>
        <v>0.48740646547164246</v>
      </c>
      <c r="K6" s="46">
        <f t="shared" ca="1" si="0"/>
        <v>0.50898711833421972</v>
      </c>
      <c r="L6" s="46">
        <f t="shared" ca="1" si="0"/>
        <v>0.44404169937943855</v>
      </c>
      <c r="M6" s="46">
        <f t="shared" ca="1" si="0"/>
        <v>0.41888437707578441</v>
      </c>
      <c r="N6" s="78">
        <f t="shared" ca="1" si="0"/>
        <v>0.39710176877692088</v>
      </c>
      <c r="O6" s="117"/>
      <c r="P6" s="117"/>
      <c r="Q6" s="117"/>
      <c r="R6" s="117"/>
      <c r="S6" s="117"/>
      <c r="T6" s="118"/>
      <c r="U6" s="103"/>
      <c r="V6" s="104">
        <v>6</v>
      </c>
      <c r="AK6" s="3"/>
      <c r="AL6" s="3"/>
      <c r="AM6" s="3"/>
    </row>
    <row r="7" spans="1:39" outlineLevel="1" x14ac:dyDescent="0.25">
      <c r="A7" s="19"/>
      <c r="B7" s="7" t="s">
        <v>5</v>
      </c>
      <c r="C7" s="112" t="str">
        <f t="shared" ca="1" si="0"/>
        <v/>
      </c>
      <c r="D7" s="112" t="str">
        <f t="shared" ca="1" si="0"/>
        <v/>
      </c>
      <c r="E7" s="112" t="str">
        <f t="shared" ca="1" si="0"/>
        <v/>
      </c>
      <c r="F7" s="112" t="str">
        <f t="shared" ca="1" si="0"/>
        <v/>
      </c>
      <c r="G7" s="112" t="str">
        <f t="shared" ca="1" si="0"/>
        <v/>
      </c>
      <c r="H7" s="112" t="str">
        <f t="shared" ca="1" si="0"/>
        <v/>
      </c>
      <c r="I7" s="46">
        <f t="shared" ca="1" si="0"/>
        <v>0.44833479189518322</v>
      </c>
      <c r="J7" s="46">
        <f t="shared" ca="1" si="0"/>
        <v>0.42948139654495371</v>
      </c>
      <c r="K7" s="46">
        <f t="shared" ca="1" si="0"/>
        <v>0.37632912823100223</v>
      </c>
      <c r="L7" s="46">
        <f t="shared" ca="1" si="0"/>
        <v>0.37371992498004164</v>
      </c>
      <c r="M7" s="46">
        <f t="shared" ca="1" si="0"/>
        <v>0.36296960365672348</v>
      </c>
      <c r="N7" s="78">
        <f t="shared" ca="1" si="0"/>
        <v>0.37097479329123501</v>
      </c>
      <c r="O7" s="117"/>
      <c r="P7" s="117"/>
      <c r="Q7" s="117"/>
      <c r="R7" s="117"/>
      <c r="S7" s="117"/>
      <c r="T7" s="118"/>
      <c r="U7" s="103"/>
      <c r="V7" s="104">
        <v>6</v>
      </c>
      <c r="AK7" s="3"/>
      <c r="AL7" s="3"/>
      <c r="AM7" s="3"/>
    </row>
    <row r="8" spans="1:39" outlineLevel="1" x14ac:dyDescent="0.25">
      <c r="A8" s="19"/>
      <c r="B8" s="7"/>
      <c r="C8" s="46"/>
      <c r="D8" s="46"/>
      <c r="E8" s="46"/>
      <c r="F8" s="46"/>
      <c r="G8" s="46"/>
      <c r="H8" s="46"/>
      <c r="I8" s="46"/>
      <c r="J8" s="46"/>
      <c r="K8" s="46"/>
      <c r="L8" s="46"/>
      <c r="M8" s="46"/>
      <c r="N8" s="78"/>
      <c r="O8" s="117"/>
      <c r="P8" s="117"/>
      <c r="Q8" s="117"/>
      <c r="R8" s="117"/>
      <c r="S8" s="117"/>
      <c r="T8" s="118"/>
      <c r="U8" s="103"/>
      <c r="V8" s="104"/>
    </row>
    <row r="9" spans="1:39" outlineLevel="1" x14ac:dyDescent="0.25">
      <c r="A9" s="19" t="s">
        <v>15</v>
      </c>
      <c r="B9" s="7" t="s">
        <v>3</v>
      </c>
      <c r="C9" s="46">
        <f t="shared" ref="C9:N11" ca="1" si="1">IF(INDIRECT(ADDRESS($V9,COLUMN(),1,TRUE,$B9))="","",INDIRECT(ADDRESS($V9,COLUMN(),1,TRUE,$B9)))</f>
        <v>0.5236427995978139</v>
      </c>
      <c r="D9" s="112" t="str">
        <f t="shared" ca="1" si="1"/>
        <v/>
      </c>
      <c r="E9" s="112" t="str">
        <f t="shared" ca="1" si="1"/>
        <v/>
      </c>
      <c r="F9" s="112" t="str">
        <f t="shared" ca="1" si="1"/>
        <v/>
      </c>
      <c r="G9" s="112" t="str">
        <f t="shared" ca="1" si="1"/>
        <v/>
      </c>
      <c r="H9" s="112" t="str">
        <f t="shared" ca="1" si="1"/>
        <v/>
      </c>
      <c r="I9" s="46">
        <f t="shared" ca="1" si="1"/>
        <v>0.55832478764065685</v>
      </c>
      <c r="J9" s="46">
        <f t="shared" ca="1" si="1"/>
        <v>0.66973456145526011</v>
      </c>
      <c r="K9" s="46">
        <f t="shared" ca="1" si="1"/>
        <v>0.57311601571657367</v>
      </c>
      <c r="L9" s="46">
        <f t="shared" ca="1" si="1"/>
        <v>0.5776247068845014</v>
      </c>
      <c r="M9" s="46">
        <f t="shared" ca="1" si="1"/>
        <v>0.52320159258063037</v>
      </c>
      <c r="N9" s="78">
        <f t="shared" ca="1" si="1"/>
        <v>0.53285393421756011</v>
      </c>
      <c r="O9" s="117"/>
      <c r="P9" s="117"/>
      <c r="Q9" s="117"/>
      <c r="R9" s="117"/>
      <c r="S9" s="117"/>
      <c r="T9" s="118"/>
      <c r="U9" s="103"/>
      <c r="V9" s="104">
        <v>7</v>
      </c>
    </row>
    <row r="10" spans="1:39" outlineLevel="1" x14ac:dyDescent="0.25">
      <c r="A10" s="19"/>
      <c r="B10" s="7" t="s">
        <v>4</v>
      </c>
      <c r="C10" s="46">
        <f t="shared" ca="1" si="1"/>
        <v>0.48408347052780887</v>
      </c>
      <c r="D10" s="112" t="str">
        <f t="shared" ca="1" si="1"/>
        <v/>
      </c>
      <c r="E10" s="112" t="str">
        <f t="shared" ca="1" si="1"/>
        <v/>
      </c>
      <c r="F10" s="112" t="str">
        <f t="shared" ca="1" si="1"/>
        <v/>
      </c>
      <c r="G10" s="112" t="str">
        <f t="shared" ca="1" si="1"/>
        <v/>
      </c>
      <c r="H10" s="112" t="str">
        <f t="shared" ca="1" si="1"/>
        <v/>
      </c>
      <c r="I10" s="46">
        <f t="shared" ca="1" si="1"/>
        <v>0.48226930072405444</v>
      </c>
      <c r="J10" s="46">
        <f t="shared" ca="1" si="1"/>
        <v>0.49397815193967815</v>
      </c>
      <c r="K10" s="46">
        <f t="shared" ca="1" si="1"/>
        <v>0.51713758574517299</v>
      </c>
      <c r="L10" s="46">
        <f t="shared" ca="1" si="1"/>
        <v>0.4509501115928623</v>
      </c>
      <c r="M10" s="46">
        <f t="shared" ca="1" si="1"/>
        <v>0.43378744283101334</v>
      </c>
      <c r="N10" s="78">
        <f t="shared" ca="1" si="1"/>
        <v>0.44377191762129781</v>
      </c>
      <c r="O10" s="117"/>
      <c r="P10" s="117"/>
      <c r="Q10" s="117"/>
      <c r="R10" s="117"/>
      <c r="S10" s="117"/>
      <c r="T10" s="118"/>
      <c r="U10" s="103"/>
      <c r="V10" s="104">
        <v>7</v>
      </c>
    </row>
    <row r="11" spans="1:39" outlineLevel="1" x14ac:dyDescent="0.25">
      <c r="A11" s="19"/>
      <c r="B11" s="7" t="s">
        <v>5</v>
      </c>
      <c r="C11" s="46">
        <f t="shared" ca="1" si="1"/>
        <v>0.49851903016352955</v>
      </c>
      <c r="D11" s="112" t="str">
        <f t="shared" ca="1" si="1"/>
        <v/>
      </c>
      <c r="E11" s="112" t="str">
        <f t="shared" ca="1" si="1"/>
        <v/>
      </c>
      <c r="F11" s="112" t="str">
        <f t="shared" ca="1" si="1"/>
        <v/>
      </c>
      <c r="G11" s="112" t="str">
        <f t="shared" ca="1" si="1"/>
        <v/>
      </c>
      <c r="H11" s="112" t="str">
        <f t="shared" ca="1" si="1"/>
        <v/>
      </c>
      <c r="I11" s="46">
        <f t="shared" ca="1" si="1"/>
        <v>0.45136877317134649</v>
      </c>
      <c r="J11" s="46">
        <f t="shared" ca="1" si="1"/>
        <v>0.43162557844641647</v>
      </c>
      <c r="K11" s="46">
        <f t="shared" ca="1" si="1"/>
        <v>0.38593420098430842</v>
      </c>
      <c r="L11" s="46">
        <f t="shared" ca="1" si="1"/>
        <v>0.38183897611809015</v>
      </c>
      <c r="M11" s="46">
        <f t="shared" ca="1" si="1"/>
        <v>0.36807367580108263</v>
      </c>
      <c r="N11" s="78">
        <f t="shared" ca="1" si="1"/>
        <v>0.38144490417761096</v>
      </c>
      <c r="O11" s="117"/>
      <c r="P11" s="117"/>
      <c r="Q11" s="117"/>
      <c r="R11" s="117"/>
      <c r="S11" s="117"/>
      <c r="T11" s="118"/>
      <c r="U11" s="103"/>
      <c r="V11" s="104">
        <v>7</v>
      </c>
    </row>
    <row r="12" spans="1:39" outlineLevel="1" x14ac:dyDescent="0.25">
      <c r="A12" s="19"/>
      <c r="B12" s="7"/>
      <c r="C12" s="46"/>
      <c r="D12" s="46"/>
      <c r="E12" s="46"/>
      <c r="F12" s="46"/>
      <c r="G12" s="46"/>
      <c r="H12" s="46"/>
      <c r="I12" s="46"/>
      <c r="J12" s="46"/>
      <c r="K12" s="46"/>
      <c r="L12" s="46"/>
      <c r="M12" s="46"/>
      <c r="N12" s="78"/>
      <c r="O12" s="117"/>
      <c r="P12" s="117"/>
      <c r="Q12" s="117"/>
      <c r="R12" s="117"/>
      <c r="S12" s="117"/>
      <c r="T12" s="118"/>
      <c r="U12" s="103"/>
      <c r="V12" s="104"/>
    </row>
    <row r="13" spans="1:39" outlineLevel="1" x14ac:dyDescent="0.25">
      <c r="A13" s="19" t="s">
        <v>18</v>
      </c>
      <c r="B13" s="7" t="s">
        <v>3</v>
      </c>
      <c r="C13" s="112" t="str">
        <f t="shared" ref="C13:N15" ca="1" si="2">IF(INDIRECT(ADDRESS($V13,COLUMN(),1,TRUE,$B13))="","",INDIRECT(ADDRESS($V13,COLUMN(),1,TRUE,$B13)))</f>
        <v/>
      </c>
      <c r="D13" s="112" t="str">
        <f t="shared" ca="1" si="2"/>
        <v/>
      </c>
      <c r="E13" s="112" t="str">
        <f t="shared" ca="1" si="2"/>
        <v/>
      </c>
      <c r="F13" s="112" t="str">
        <f t="shared" ca="1" si="2"/>
        <v/>
      </c>
      <c r="G13" s="112" t="str">
        <f t="shared" ca="1" si="2"/>
        <v/>
      </c>
      <c r="H13" s="112" t="str">
        <f t="shared" ca="1" si="2"/>
        <v/>
      </c>
      <c r="I13" s="46">
        <f t="shared" ca="1" si="2"/>
        <v>0.62595113945283598</v>
      </c>
      <c r="J13" s="46">
        <f t="shared" ca="1" si="2"/>
        <v>0.65347612211714501</v>
      </c>
      <c r="K13" s="46">
        <f t="shared" ca="1" si="2"/>
        <v>0.68087182830512838</v>
      </c>
      <c r="L13" s="46">
        <f t="shared" ca="1" si="2"/>
        <v>0.71538473127919822</v>
      </c>
      <c r="M13" s="46">
        <f t="shared" ca="1" si="2"/>
        <v>0.65153496437370717</v>
      </c>
      <c r="N13" s="78">
        <f t="shared" ca="1" si="2"/>
        <v>0.59107586941309986</v>
      </c>
      <c r="O13" s="117"/>
      <c r="P13" s="117"/>
      <c r="Q13" s="117"/>
      <c r="R13" s="117"/>
      <c r="S13" s="117"/>
      <c r="T13" s="118"/>
      <c r="U13" s="103"/>
      <c r="V13" s="104">
        <v>8</v>
      </c>
    </row>
    <row r="14" spans="1:39" outlineLevel="1" x14ac:dyDescent="0.25">
      <c r="A14" s="19"/>
      <c r="B14" s="7" t="s">
        <v>4</v>
      </c>
      <c r="C14" s="112" t="str">
        <f t="shared" ca="1" si="2"/>
        <v/>
      </c>
      <c r="D14" s="112" t="str">
        <f t="shared" ca="1" si="2"/>
        <v/>
      </c>
      <c r="E14" s="112" t="str">
        <f t="shared" ca="1" si="2"/>
        <v/>
      </c>
      <c r="F14" s="112" t="str">
        <f t="shared" ca="1" si="2"/>
        <v/>
      </c>
      <c r="G14" s="112" t="str">
        <f t="shared" ca="1" si="2"/>
        <v/>
      </c>
      <c r="H14" s="112" t="str">
        <f t="shared" ca="1" si="2"/>
        <v/>
      </c>
      <c r="I14" s="46">
        <f t="shared" ca="1" si="2"/>
        <v>0.36764608606606136</v>
      </c>
      <c r="J14" s="46">
        <f t="shared" ca="1" si="2"/>
        <v>0.35220895204287234</v>
      </c>
      <c r="K14" s="46">
        <f t="shared" ca="1" si="2"/>
        <v>0.36600372324597452</v>
      </c>
      <c r="L14" s="46">
        <f t="shared" ca="1" si="2"/>
        <v>0.31879974202592221</v>
      </c>
      <c r="M14" s="46">
        <f t="shared" ca="1" si="2"/>
        <v>0.22223468883858222</v>
      </c>
      <c r="N14" s="78">
        <f t="shared" ca="1" si="2"/>
        <v>8.8970168804900357E-2</v>
      </c>
      <c r="O14" s="117"/>
      <c r="P14" s="117"/>
      <c r="Q14" s="117"/>
      <c r="R14" s="117"/>
      <c r="S14" s="117"/>
      <c r="T14" s="118"/>
      <c r="U14" s="103"/>
      <c r="V14" s="104">
        <v>8</v>
      </c>
    </row>
    <row r="15" spans="1:39" outlineLevel="1" x14ac:dyDescent="0.25">
      <c r="A15" s="19"/>
      <c r="B15" s="7" t="s">
        <v>5</v>
      </c>
      <c r="C15" s="112" t="str">
        <f t="shared" ca="1" si="2"/>
        <v/>
      </c>
      <c r="D15" s="112" t="str">
        <f t="shared" ca="1" si="2"/>
        <v/>
      </c>
      <c r="E15" s="112" t="str">
        <f t="shared" ca="1" si="2"/>
        <v/>
      </c>
      <c r="F15" s="112" t="str">
        <f t="shared" ca="1" si="2"/>
        <v/>
      </c>
      <c r="G15" s="112" t="str">
        <f t="shared" ca="1" si="2"/>
        <v/>
      </c>
      <c r="H15" s="112" t="str">
        <f t="shared" ca="1" si="2"/>
        <v/>
      </c>
      <c r="I15" s="46">
        <f t="shared" ca="1" si="2"/>
        <v>0.43800759958296298</v>
      </c>
      <c r="J15" s="46">
        <f t="shared" ca="1" si="2"/>
        <v>0.42240031546389639</v>
      </c>
      <c r="K15" s="46">
        <f t="shared" ca="1" si="2"/>
        <v>0.3417341957718541</v>
      </c>
      <c r="L15" s="46">
        <f t="shared" ca="1" si="2"/>
        <v>0.34474022502535062</v>
      </c>
      <c r="M15" s="46">
        <f t="shared" ca="1" si="2"/>
        <v>0.34475140589252318</v>
      </c>
      <c r="N15" s="78">
        <f t="shared" ca="1" si="2"/>
        <v>0.33016854142095137</v>
      </c>
      <c r="O15" s="117"/>
      <c r="P15" s="117"/>
      <c r="Q15" s="117"/>
      <c r="R15" s="117"/>
      <c r="S15" s="117"/>
      <c r="T15" s="118"/>
      <c r="U15" s="103"/>
      <c r="V15" s="104">
        <v>8</v>
      </c>
    </row>
    <row r="16" spans="1:39" outlineLevel="1" x14ac:dyDescent="0.25">
      <c r="A16" s="19"/>
      <c r="B16" s="7"/>
      <c r="C16" s="46"/>
      <c r="D16" s="46"/>
      <c r="E16" s="46"/>
      <c r="F16" s="46"/>
      <c r="G16" s="46"/>
      <c r="H16" s="46"/>
      <c r="I16" s="46"/>
      <c r="J16" s="46"/>
      <c r="K16" s="46"/>
      <c r="L16" s="46"/>
      <c r="M16" s="46"/>
      <c r="N16" s="78"/>
      <c r="O16" s="117"/>
      <c r="P16" s="117"/>
      <c r="Q16" s="117"/>
      <c r="R16" s="117"/>
      <c r="S16" s="117"/>
      <c r="T16" s="118"/>
      <c r="U16" s="103"/>
      <c r="V16" s="104"/>
    </row>
    <row r="17" spans="1:38" outlineLevel="1" x14ac:dyDescent="0.25">
      <c r="A17" s="20" t="s">
        <v>2</v>
      </c>
      <c r="B17" s="7"/>
      <c r="C17" s="7"/>
      <c r="D17" s="7"/>
      <c r="E17" s="7"/>
      <c r="F17" s="7"/>
      <c r="G17" s="7"/>
      <c r="H17" s="7"/>
      <c r="I17" s="7"/>
      <c r="J17" s="7"/>
      <c r="K17" s="7"/>
      <c r="L17" s="7"/>
      <c r="M17" s="7"/>
      <c r="N17" s="8"/>
      <c r="O17" s="117"/>
      <c r="P17" s="117"/>
      <c r="Q17" s="117"/>
      <c r="R17" s="117"/>
      <c r="S17" s="117"/>
      <c r="T17" s="118"/>
      <c r="U17" s="103"/>
      <c r="V17" s="104"/>
    </row>
    <row r="18" spans="1:38" outlineLevel="1" x14ac:dyDescent="0.25">
      <c r="A18" s="114" t="s">
        <v>1</v>
      </c>
      <c r="B18" s="7" t="s">
        <v>3</v>
      </c>
      <c r="C18" s="46">
        <f t="shared" ref="C18:N20" ca="1" si="3">IF(INDIRECT(ADDRESS($V18,COLUMN(),1,TRUE,$B18))="","",INDIRECT(ADDRESS($V18,COLUMN(),1,TRUE,$B18)))</f>
        <v>0.23981398100845674</v>
      </c>
      <c r="D18" s="112" t="str">
        <f t="shared" ca="1" si="3"/>
        <v/>
      </c>
      <c r="E18" s="112" t="str">
        <f t="shared" ca="1" si="3"/>
        <v/>
      </c>
      <c r="F18" s="112" t="str">
        <f t="shared" ca="1" si="3"/>
        <v/>
      </c>
      <c r="G18" s="112" t="str">
        <f t="shared" ca="1" si="3"/>
        <v/>
      </c>
      <c r="H18" s="112" t="str">
        <f t="shared" ca="1" si="3"/>
        <v/>
      </c>
      <c r="I18" s="46">
        <f t="shared" ca="1" si="3"/>
        <v>0.27380586225752107</v>
      </c>
      <c r="J18" s="46">
        <f t="shared" ca="1" si="3"/>
        <v>0.31859880476708113</v>
      </c>
      <c r="K18" s="46">
        <f t="shared" ca="1" si="3"/>
        <v>0.33809835212515682</v>
      </c>
      <c r="L18" s="46">
        <f t="shared" ca="1" si="3"/>
        <v>0.38489103734173313</v>
      </c>
      <c r="M18" s="46">
        <f t="shared" ca="1" si="3"/>
        <v>0.34079536215766537</v>
      </c>
      <c r="N18" s="78">
        <f t="shared" ca="1" si="3"/>
        <v>0.29647195076046001</v>
      </c>
      <c r="O18" s="117"/>
      <c r="P18" s="117"/>
      <c r="Q18" s="117"/>
      <c r="R18" s="117"/>
      <c r="S18" s="117"/>
      <c r="T18" s="118"/>
      <c r="U18" s="103"/>
      <c r="V18" s="104">
        <v>9</v>
      </c>
    </row>
    <row r="19" spans="1:38" outlineLevel="1" x14ac:dyDescent="0.25">
      <c r="A19" s="19"/>
      <c r="B19" s="7" t="s">
        <v>4</v>
      </c>
      <c r="C19" s="46">
        <f t="shared" ca="1" si="3"/>
        <v>0.34457706287080037</v>
      </c>
      <c r="D19" s="112" t="str">
        <f t="shared" ca="1" si="3"/>
        <v/>
      </c>
      <c r="E19" s="112" t="str">
        <f t="shared" ca="1" si="3"/>
        <v/>
      </c>
      <c r="F19" s="112" t="str">
        <f t="shared" ca="1" si="3"/>
        <v/>
      </c>
      <c r="G19" s="112" t="str">
        <f t="shared" ca="1" si="3"/>
        <v/>
      </c>
      <c r="H19" s="112" t="str">
        <f t="shared" ca="1" si="3"/>
        <v/>
      </c>
      <c r="I19" s="46">
        <f t="shared" ca="1" si="3"/>
        <v>0.37544949722173093</v>
      </c>
      <c r="J19" s="46">
        <f t="shared" ca="1" si="3"/>
        <v>0.32196437348531071</v>
      </c>
      <c r="K19" s="46">
        <f t="shared" ca="1" si="3"/>
        <v>0.34837966001121723</v>
      </c>
      <c r="L19" s="46">
        <f t="shared" ca="1" si="3"/>
        <v>0.34130096528932719</v>
      </c>
      <c r="M19" s="46">
        <f t="shared" ca="1" si="3"/>
        <v>0.28395281375087977</v>
      </c>
      <c r="N19" s="78">
        <f t="shared" ca="1" si="3"/>
        <v>0.32310854157792507</v>
      </c>
      <c r="O19" s="117"/>
      <c r="P19" s="117"/>
      <c r="Q19" s="117"/>
      <c r="R19" s="117"/>
      <c r="S19" s="117"/>
      <c r="T19" s="118"/>
      <c r="U19" s="103"/>
      <c r="V19" s="104">
        <v>9</v>
      </c>
    </row>
    <row r="20" spans="1:38" outlineLevel="1" x14ac:dyDescent="0.25">
      <c r="A20" s="19"/>
      <c r="B20" s="7" t="s">
        <v>5</v>
      </c>
      <c r="C20" s="46">
        <f t="shared" ca="1" si="3"/>
        <v>0.30600848225107685</v>
      </c>
      <c r="D20" s="112" t="str">
        <f t="shared" ca="1" si="3"/>
        <v/>
      </c>
      <c r="E20" s="112" t="str">
        <f t="shared" ca="1" si="3"/>
        <v/>
      </c>
      <c r="F20" s="112" t="str">
        <f t="shared" ca="1" si="3"/>
        <v/>
      </c>
      <c r="G20" s="112" t="str">
        <f t="shared" ca="1" si="3"/>
        <v/>
      </c>
      <c r="H20" s="112" t="str">
        <f t="shared" ca="1" si="3"/>
        <v/>
      </c>
      <c r="I20" s="46">
        <f t="shared" ca="1" si="3"/>
        <v>0.36575623184515316</v>
      </c>
      <c r="J20" s="46">
        <f t="shared" ca="1" si="3"/>
        <v>0.35498737025770716</v>
      </c>
      <c r="K20" s="46">
        <f t="shared" ca="1" si="3"/>
        <v>0.28079739380506263</v>
      </c>
      <c r="L20" s="46">
        <f t="shared" ca="1" si="3"/>
        <v>0.2824545347274266</v>
      </c>
      <c r="M20" s="46">
        <f t="shared" ca="1" si="3"/>
        <v>0.2855765245400021</v>
      </c>
      <c r="N20" s="78">
        <f t="shared" ca="1" si="3"/>
        <v>0.27150125497270294</v>
      </c>
      <c r="O20" s="117"/>
      <c r="P20" s="117"/>
      <c r="Q20" s="117"/>
      <c r="R20" s="117"/>
      <c r="S20" s="117"/>
      <c r="T20" s="118"/>
      <c r="U20" s="103"/>
      <c r="V20" s="104">
        <v>9</v>
      </c>
    </row>
    <row r="21" spans="1:38" outlineLevel="1" x14ac:dyDescent="0.25">
      <c r="A21" s="25"/>
      <c r="B21" s="14"/>
      <c r="C21" s="14"/>
      <c r="D21" s="14"/>
      <c r="E21" s="14"/>
      <c r="F21" s="14"/>
      <c r="G21" s="14"/>
      <c r="H21" s="14"/>
      <c r="I21" s="14"/>
      <c r="J21" s="14"/>
      <c r="K21" s="14"/>
      <c r="L21" s="14"/>
      <c r="M21" s="14"/>
      <c r="N21" s="79"/>
      <c r="O21" s="119"/>
      <c r="P21" s="119"/>
      <c r="Q21" s="119"/>
      <c r="R21" s="119"/>
      <c r="S21" s="119"/>
      <c r="T21" s="120"/>
      <c r="U21" s="105"/>
      <c r="V21" s="106"/>
    </row>
    <row r="22" spans="1:38" ht="21" outlineLevel="1" x14ac:dyDescent="0.35">
      <c r="A22" s="73" t="s">
        <v>73</v>
      </c>
      <c r="B22" s="7"/>
      <c r="C22" s="7"/>
      <c r="D22" s="7"/>
      <c r="E22" s="7"/>
      <c r="F22" s="7"/>
      <c r="G22" s="7"/>
      <c r="H22" s="7"/>
      <c r="I22" s="7"/>
      <c r="J22" s="7"/>
      <c r="K22" s="7"/>
      <c r="L22" s="7"/>
      <c r="M22" s="7"/>
      <c r="N22" s="8"/>
      <c r="O22" s="88" t="s">
        <v>69</v>
      </c>
      <c r="P22" s="7"/>
      <c r="Q22" s="7"/>
      <c r="R22" s="7"/>
      <c r="S22" s="7"/>
      <c r="T22" s="8"/>
      <c r="U22" s="103" t="s">
        <v>114</v>
      </c>
      <c r="V22" s="104"/>
    </row>
    <row r="23" spans="1:38" outlineLevel="1" x14ac:dyDescent="0.25">
      <c r="A23" s="92" t="str">
        <f>IF(U23="yes","(not included S6 corrections)","(S6 corrections included)")</f>
        <v>(not included S6 corrections)</v>
      </c>
      <c r="B23" s="94"/>
      <c r="C23" s="94"/>
      <c r="D23" s="94"/>
      <c r="E23" s="94"/>
      <c r="F23" s="94"/>
      <c r="G23" s="7"/>
      <c r="H23" s="7"/>
      <c r="I23" s="7"/>
      <c r="J23" s="7"/>
      <c r="K23" s="7"/>
      <c r="L23" s="7"/>
      <c r="M23" s="7"/>
      <c r="N23" s="8"/>
      <c r="O23" s="6"/>
      <c r="P23" s="7"/>
      <c r="Q23" s="8"/>
      <c r="R23" s="7" t="s">
        <v>68</v>
      </c>
      <c r="S23" s="7"/>
      <c r="T23" s="8"/>
      <c r="U23" s="107" t="str">
        <f>S98</f>
        <v>yes</v>
      </c>
      <c r="V23" s="104"/>
    </row>
    <row r="24" spans="1:38" outlineLevel="1" x14ac:dyDescent="0.25">
      <c r="A24" s="20" t="s">
        <v>0</v>
      </c>
      <c r="B24" s="7"/>
      <c r="C24" s="94"/>
      <c r="D24" s="94"/>
      <c r="E24" s="94"/>
      <c r="F24" s="94"/>
      <c r="G24" s="7"/>
      <c r="H24" s="7"/>
      <c r="I24" s="7"/>
      <c r="J24" s="7"/>
      <c r="K24" s="7"/>
      <c r="L24" s="7"/>
      <c r="M24" s="7"/>
      <c r="N24" s="8"/>
      <c r="O24" s="89" t="s">
        <v>63</v>
      </c>
      <c r="P24" s="14"/>
      <c r="Q24" s="79"/>
      <c r="R24" s="14" t="s">
        <v>66</v>
      </c>
      <c r="S24" s="14" t="s">
        <v>65</v>
      </c>
      <c r="T24" s="79" t="s">
        <v>67</v>
      </c>
      <c r="U24" s="103" t="s">
        <v>71</v>
      </c>
      <c r="V24" s="104" t="s">
        <v>70</v>
      </c>
    </row>
    <row r="25" spans="1:38" outlineLevel="1" x14ac:dyDescent="0.25">
      <c r="A25" s="19" t="s">
        <v>15</v>
      </c>
      <c r="B25" s="7" t="s">
        <v>3</v>
      </c>
      <c r="C25" s="46">
        <f ca="1">IF(INDIRECT(ADDRESS(IF($U$23="yes",$V25,$U25),COLUMN(),1,TRUE,$B25))="","",INDIRECT(ADDRESS(IF($U$23="yes",$V25,$U25),COLUMN(),1,TRUE,$B25)))</f>
        <v>0.5236427995978139</v>
      </c>
      <c r="D25" s="112"/>
      <c r="E25" s="112"/>
      <c r="F25" s="112"/>
      <c r="G25" s="112"/>
      <c r="H25" s="112"/>
      <c r="I25" s="46">
        <f t="shared" ref="I25:N27" ca="1" si="4">IF(INDIRECT(ADDRESS(IF($U$23="yes",$V25,$U25),COLUMN(),1,TRUE,$B25))="","",INDIRECT(ADDRESS(IF($U$23="yes",$V25,$U25),COLUMN(),1,TRUE,$B25)))</f>
        <v>0.58409854358787161</v>
      </c>
      <c r="J25" s="46">
        <f t="shared" ca="1" si="4"/>
        <v>0.68701746640614758</v>
      </c>
      <c r="K25" s="46">
        <f t="shared" ca="1" si="4"/>
        <v>0.56278856603092509</v>
      </c>
      <c r="L25" s="46">
        <f t="shared" ca="1" si="4"/>
        <v>0.53089903858906173</v>
      </c>
      <c r="M25" s="46">
        <f t="shared" ca="1" si="4"/>
        <v>0.49613832071046815</v>
      </c>
      <c r="N25" s="78">
        <f t="shared" ca="1" si="4"/>
        <v>0.53380734930352713</v>
      </c>
      <c r="O25" s="9">
        <f ca="1">INDIRECT($B5&amp;"!"&amp;U$22)</f>
        <v>1.4305203723485427</v>
      </c>
      <c r="P25" s="9">
        <f ca="1">O25</f>
        <v>1.4305203723485427</v>
      </c>
      <c r="Q25" s="90">
        <f ca="1">P25</f>
        <v>1.4305203723485427</v>
      </c>
      <c r="R25" s="11">
        <f ca="1">AVERAGE(I25:J25)</f>
        <v>0.63555800499700954</v>
      </c>
      <c r="S25" s="11">
        <f ca="1">AVERAGE(I25:N25)</f>
        <v>0.5657915474380002</v>
      </c>
      <c r="T25" s="12">
        <f ca="1">AVERAGE(M25:N25)</f>
        <v>0.51497283500699764</v>
      </c>
      <c r="U25" s="108">
        <v>66</v>
      </c>
      <c r="V25" s="104">
        <v>62</v>
      </c>
    </row>
    <row r="26" spans="1:38" outlineLevel="1" x14ac:dyDescent="0.25">
      <c r="B26" s="7" t="s">
        <v>4</v>
      </c>
      <c r="C26" s="46">
        <f ca="1">IF(INDIRECT(ADDRESS(IF($U$23="yes",$V26,$U26),COLUMN(),1,TRUE,$B26))="","",INDIRECT(ADDRESS(IF($U$23="yes",$V26,$U26),COLUMN(),1,TRUE,$B26)))</f>
        <v>0.48408347052780887</v>
      </c>
      <c r="D26" s="112"/>
      <c r="E26" s="112"/>
      <c r="F26" s="112"/>
      <c r="G26" s="112"/>
      <c r="H26" s="112"/>
      <c r="I26" s="46">
        <f t="shared" ca="1" si="4"/>
        <v>0.4871777077039286</v>
      </c>
      <c r="J26" s="46">
        <f t="shared" ca="1" si="4"/>
        <v>0.46978258282429169</v>
      </c>
      <c r="K26" s="46">
        <f t="shared" ca="1" si="4"/>
        <v>0.49206729578475278</v>
      </c>
      <c r="L26" s="46">
        <f t="shared" ca="1" si="4"/>
        <v>0.4418913391404824</v>
      </c>
      <c r="M26" s="46">
        <f t="shared" ca="1" si="4"/>
        <v>0.43201586697363942</v>
      </c>
      <c r="N26" s="78">
        <f t="shared" ca="1" si="4"/>
        <v>0.42221214834414972</v>
      </c>
      <c r="O26" s="9">
        <f ca="1">INDIRECT($B6&amp;"!"&amp;U$22)</f>
        <v>1.0049987954709709</v>
      </c>
      <c r="P26" s="9">
        <f t="shared" ref="P26:Q26" ca="1" si="5">O26</f>
        <v>1.0049987954709709</v>
      </c>
      <c r="Q26" s="90">
        <f t="shared" ca="1" si="5"/>
        <v>1.0049987954709709</v>
      </c>
      <c r="R26" s="11">
        <f ca="1">AVERAGE(I26:J26)</f>
        <v>0.47848014526411015</v>
      </c>
      <c r="S26" s="11">
        <f ca="1">AVERAGE(I26:N26)</f>
        <v>0.45752449012854085</v>
      </c>
      <c r="T26" s="12">
        <f ca="1">AVERAGE(M26:N26)</f>
        <v>0.42711400765889457</v>
      </c>
      <c r="U26" s="108">
        <v>66</v>
      </c>
      <c r="V26" s="104">
        <v>62</v>
      </c>
    </row>
    <row r="27" spans="1:38" outlineLevel="1" x14ac:dyDescent="0.25">
      <c r="A27" s="19"/>
      <c r="B27" s="7" t="s">
        <v>5</v>
      </c>
      <c r="C27" s="46">
        <f ca="1">IF(INDIRECT(ADDRESS(IF($U$23="yes",$V27,$U27),COLUMN(),1,TRUE,$B27))="","",INDIRECT(ADDRESS(IF($U$23="yes",$V27,$U27),COLUMN(),1,TRUE,$B27)))</f>
        <v>0.49851903016352955</v>
      </c>
      <c r="D27" s="112"/>
      <c r="E27" s="112"/>
      <c r="F27" s="112"/>
      <c r="G27" s="112"/>
      <c r="H27" s="112"/>
      <c r="I27" s="46">
        <f t="shared" ca="1" si="4"/>
        <v>0.45136877317134649</v>
      </c>
      <c r="J27" s="46">
        <f t="shared" ca="1" si="4"/>
        <v>0.43162557844641647</v>
      </c>
      <c r="K27" s="46">
        <f t="shared" ca="1" si="4"/>
        <v>0.38593420098430842</v>
      </c>
      <c r="L27" s="46">
        <f t="shared" ca="1" si="4"/>
        <v>0.38183897611809015</v>
      </c>
      <c r="M27" s="46">
        <f t="shared" ca="1" si="4"/>
        <v>0.36807367580108263</v>
      </c>
      <c r="N27" s="78">
        <f t="shared" ca="1" si="4"/>
        <v>0.38144490417761096</v>
      </c>
      <c r="O27" s="9">
        <f ca="1">INDIRECT($B7&amp;"!"&amp;U$22)</f>
        <v>0.68207287449392717</v>
      </c>
      <c r="P27" s="9">
        <f t="shared" ref="P27:Q27" ca="1" si="6">O27</f>
        <v>0.68207287449392717</v>
      </c>
      <c r="Q27" s="90">
        <f t="shared" ca="1" si="6"/>
        <v>0.68207287449392717</v>
      </c>
      <c r="R27" s="11">
        <f ca="1">AVERAGE(I27:J27)</f>
        <v>0.44149717580888148</v>
      </c>
      <c r="S27" s="11">
        <f ca="1">AVERAGE(I27:N27)</f>
        <v>0.40004768478314251</v>
      </c>
      <c r="T27" s="12">
        <f ca="1">AVERAGE(M27:N27)</f>
        <v>0.37475928998934682</v>
      </c>
      <c r="U27" s="108">
        <v>66</v>
      </c>
      <c r="V27" s="104">
        <v>62</v>
      </c>
    </row>
    <row r="28" spans="1:38" outlineLevel="1" x14ac:dyDescent="0.25">
      <c r="A28" s="20" t="s">
        <v>17</v>
      </c>
      <c r="B28" s="7"/>
      <c r="C28" s="7"/>
      <c r="D28" s="7"/>
      <c r="E28" s="7"/>
      <c r="F28" s="7"/>
      <c r="G28" s="7"/>
      <c r="H28" s="7"/>
      <c r="I28" s="7"/>
      <c r="J28" s="7"/>
      <c r="K28" s="7"/>
      <c r="L28" s="7"/>
      <c r="M28" s="7"/>
      <c r="N28" s="8"/>
      <c r="O28" s="7"/>
      <c r="P28" s="9"/>
      <c r="Q28" s="90"/>
      <c r="R28" s="11"/>
      <c r="S28" s="11"/>
      <c r="T28" s="12"/>
      <c r="U28" s="109"/>
      <c r="V28" s="104"/>
    </row>
    <row r="29" spans="1:38" outlineLevel="1" x14ac:dyDescent="0.25">
      <c r="A29" s="15" t="s">
        <v>1</v>
      </c>
      <c r="B29" s="7" t="s">
        <v>3</v>
      </c>
      <c r="C29" s="46">
        <f ca="1">IF(INDIRECT(ADDRESS(IF($U$23="yes",$V29,$U29),COLUMN(),1,TRUE,$B29))="","",INDIRECT(ADDRESS(IF($U$23="yes",$V29,$U29),COLUMN(),1,TRUE,$B29)))</f>
        <v>0.26353184726204038</v>
      </c>
      <c r="D29" s="112"/>
      <c r="E29" s="112"/>
      <c r="F29" s="112"/>
      <c r="G29" s="112"/>
      <c r="H29" s="112"/>
      <c r="I29" s="46">
        <f t="shared" ref="I29:N31" ca="1" si="7">IF(INDIRECT(ADDRESS(IF($U$23="yes",$V29,$U29),COLUMN(),1,TRUE,$B29))="","",INDIRECT(ADDRESS(IF($U$23="yes",$V29,$U29),COLUMN(),1,TRUE,$B29)))</f>
        <v>0.33261563614571921</v>
      </c>
      <c r="J29" s="46">
        <f t="shared" ca="1" si="7"/>
        <v>0.35966549229971601</v>
      </c>
      <c r="K29" s="46">
        <f t="shared" ca="1" si="7"/>
        <v>0.37798288487576787</v>
      </c>
      <c r="L29" s="46">
        <f t="shared" ca="1" si="7"/>
        <v>0.36923992654261273</v>
      </c>
      <c r="M29" s="46">
        <f t="shared" ca="1" si="7"/>
        <v>0.34437951737351669</v>
      </c>
      <c r="N29" s="78">
        <f t="shared" ca="1" si="7"/>
        <v>0.33556567161142453</v>
      </c>
      <c r="O29" s="9">
        <f ca="1">INDIRECT($B9&amp;"!"&amp;U$22)</f>
        <v>1.4305203723485427</v>
      </c>
      <c r="P29" s="9">
        <f t="shared" ref="P29:Q29" ca="1" si="8">O29</f>
        <v>1.4305203723485427</v>
      </c>
      <c r="Q29" s="90">
        <f t="shared" ca="1" si="8"/>
        <v>1.4305203723485427</v>
      </c>
      <c r="R29" s="11">
        <f ca="1">AVERAGE(I29:J29)</f>
        <v>0.34614056422271761</v>
      </c>
      <c r="S29" s="11">
        <f ca="1">AVERAGE(I29:N29)</f>
        <v>0.35324152147479282</v>
      </c>
      <c r="T29" s="12">
        <f ca="1">AVERAGE(M29:N29)</f>
        <v>0.33997259449247064</v>
      </c>
      <c r="U29" s="109">
        <v>67</v>
      </c>
      <c r="V29" s="104">
        <v>63</v>
      </c>
      <c r="AK29" s="1"/>
      <c r="AL29" s="1"/>
    </row>
    <row r="30" spans="1:38" outlineLevel="1" x14ac:dyDescent="0.25">
      <c r="A30" s="19"/>
      <c r="B30" s="7" t="s">
        <v>4</v>
      </c>
      <c r="C30" s="46">
        <f ca="1">IF(INDIRECT(ADDRESS(IF($U$23="yes",$V30,$U30),COLUMN(),1,TRUE,$B30))="","",INDIRECT(ADDRESS(IF($U$23="yes",$V30,$U30),COLUMN(),1,TRUE,$B30)))</f>
        <v>0.34457706287080037</v>
      </c>
      <c r="D30" s="112"/>
      <c r="E30" s="112"/>
      <c r="F30" s="112"/>
      <c r="G30" s="112"/>
      <c r="H30" s="112"/>
      <c r="I30" s="46">
        <f t="shared" ca="1" si="7"/>
        <v>0.37927072102757264</v>
      </c>
      <c r="J30" s="46">
        <f t="shared" ca="1" si="7"/>
        <v>0.30619422004680963</v>
      </c>
      <c r="K30" s="46">
        <f t="shared" ca="1" si="7"/>
        <v>0.33149057800761744</v>
      </c>
      <c r="L30" s="46">
        <f t="shared" ca="1" si="7"/>
        <v>0.33444484594740537</v>
      </c>
      <c r="M30" s="46">
        <f t="shared" ca="1" si="7"/>
        <v>0.28279315835331581</v>
      </c>
      <c r="N30" s="78">
        <f t="shared" ca="1" si="7"/>
        <v>0.30741096061057649</v>
      </c>
      <c r="O30" s="9">
        <f ca="1">INDIRECT($B10&amp;"!"&amp;U$22)</f>
        <v>1.0049987954709709</v>
      </c>
      <c r="P30" s="9">
        <f t="shared" ref="P30:Q30" ca="1" si="9">O30</f>
        <v>1.0049987954709709</v>
      </c>
      <c r="Q30" s="90">
        <f t="shared" ca="1" si="9"/>
        <v>1.0049987954709709</v>
      </c>
      <c r="R30" s="11">
        <f ca="1">AVERAGE(I30:J30)</f>
        <v>0.34273247053719114</v>
      </c>
      <c r="S30" s="11">
        <f ca="1">AVERAGE(I30:N30)</f>
        <v>0.32360074733221622</v>
      </c>
      <c r="T30" s="12">
        <f ca="1">AVERAGE(M30:N30)</f>
        <v>0.29510205948194612</v>
      </c>
      <c r="U30" s="109">
        <v>67</v>
      </c>
      <c r="V30" s="104">
        <v>63</v>
      </c>
      <c r="AK30" s="1"/>
      <c r="AL30" s="1"/>
    </row>
    <row r="31" spans="1:38" ht="16.5" outlineLevel="1" thickBot="1" x14ac:dyDescent="0.3">
      <c r="A31" s="22"/>
      <c r="B31" s="23" t="s">
        <v>5</v>
      </c>
      <c r="C31" s="74">
        <f ca="1">IF(INDIRECT(ADDRESS(IF($U$23="yes",$V31,$U31),COLUMN(),1,TRUE,$B31))="","",INDIRECT(ADDRESS(IF($U$23="yes",$V31,$U31),COLUMN(),1,TRUE,$B31)))</f>
        <v>0.30600848225107685</v>
      </c>
      <c r="D31" s="113"/>
      <c r="E31" s="113"/>
      <c r="F31" s="113"/>
      <c r="G31" s="113"/>
      <c r="H31" s="113"/>
      <c r="I31" s="74">
        <f t="shared" ca="1" si="7"/>
        <v>0.36575623184515316</v>
      </c>
      <c r="J31" s="74">
        <f t="shared" ca="1" si="7"/>
        <v>0.35498737025770716</v>
      </c>
      <c r="K31" s="74">
        <f t="shared" ca="1" si="7"/>
        <v>0.28079739380506263</v>
      </c>
      <c r="L31" s="74">
        <f t="shared" ca="1" si="7"/>
        <v>0.2824545347274266</v>
      </c>
      <c r="M31" s="74">
        <f t="shared" ca="1" si="7"/>
        <v>0.2855765245400021</v>
      </c>
      <c r="N31" s="80">
        <f t="shared" ca="1" si="7"/>
        <v>0.27150125497270294</v>
      </c>
      <c r="O31" s="75">
        <f ca="1">INDIRECT($B11&amp;"!"&amp;U$22)</f>
        <v>0.68207287449392717</v>
      </c>
      <c r="P31" s="75">
        <f t="shared" ref="P31:Q31" ca="1" si="10">O31</f>
        <v>0.68207287449392717</v>
      </c>
      <c r="Q31" s="91">
        <f t="shared" ca="1" si="10"/>
        <v>0.68207287449392717</v>
      </c>
      <c r="R31" s="76">
        <f ca="1">AVERAGE(I31:J31)</f>
        <v>0.36037180105143019</v>
      </c>
      <c r="S31" s="76">
        <f ca="1">AVERAGE(I31:N31)</f>
        <v>0.30684555169134248</v>
      </c>
      <c r="T31" s="87">
        <f ca="1">AVERAGE(M31:N31)</f>
        <v>0.27853888975635255</v>
      </c>
      <c r="U31" s="110">
        <v>67</v>
      </c>
      <c r="V31" s="111">
        <v>63</v>
      </c>
      <c r="AK31" s="1"/>
      <c r="AL31" s="1"/>
    </row>
    <row r="32" spans="1:38" ht="16.5" thickBot="1" x14ac:dyDescent="0.3">
      <c r="C32" s="2"/>
      <c r="I32" s="2"/>
      <c r="J32" s="2"/>
      <c r="K32" s="2"/>
      <c r="L32" s="2"/>
      <c r="M32" s="2"/>
      <c r="N32" s="2"/>
      <c r="O32" s="4"/>
      <c r="Q32" s="1"/>
      <c r="R32" s="1"/>
      <c r="S32" s="1"/>
      <c r="W32" s="2"/>
      <c r="X32" s="2"/>
      <c r="Y32" s="2"/>
      <c r="AA32" s="1"/>
      <c r="AB32" s="1"/>
      <c r="AD32" s="3"/>
      <c r="AE32" s="3"/>
      <c r="AF32" s="3"/>
      <c r="AG32" s="1"/>
      <c r="AH32" s="1"/>
      <c r="AI32" s="1"/>
      <c r="AK32" s="1"/>
      <c r="AL32" s="1"/>
    </row>
    <row r="33" spans="1:38" ht="34.5" thickBot="1" x14ac:dyDescent="0.55000000000000004">
      <c r="A33" s="95" t="s">
        <v>47</v>
      </c>
      <c r="B33" s="55"/>
      <c r="C33" s="96"/>
      <c r="D33" s="55"/>
      <c r="E33" s="55"/>
      <c r="F33" s="55"/>
      <c r="G33" s="55"/>
      <c r="H33" s="55"/>
      <c r="I33" s="96"/>
      <c r="J33" s="96"/>
      <c r="K33" s="96"/>
      <c r="L33" s="96"/>
      <c r="M33" s="96"/>
      <c r="N33" s="96"/>
      <c r="O33" s="97"/>
      <c r="P33" s="55"/>
      <c r="Q33" s="98"/>
      <c r="R33" s="98"/>
      <c r="S33" s="98"/>
      <c r="T33" s="55"/>
      <c r="U33" s="55"/>
      <c r="V33" s="55"/>
      <c r="W33" s="96"/>
      <c r="X33" s="96"/>
      <c r="Y33" s="96"/>
      <c r="Z33" s="55"/>
      <c r="AA33" s="99"/>
      <c r="AB33" s="1"/>
      <c r="AD33" s="3"/>
      <c r="AE33" s="3"/>
      <c r="AF33" s="3"/>
      <c r="AG33" s="1"/>
      <c r="AH33" s="1"/>
      <c r="AI33" s="1"/>
      <c r="AK33" s="1"/>
      <c r="AL33" s="1"/>
    </row>
    <row r="34" spans="1:38" ht="23.25" x14ac:dyDescent="0.35">
      <c r="A34" s="37" t="s">
        <v>12</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9"/>
    </row>
    <row r="35" spans="1:38" ht="21" x14ac:dyDescent="0.35">
      <c r="A35" s="38" t="s">
        <v>19</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2"/>
    </row>
    <row r="36" spans="1:38" x14ac:dyDescent="0.25">
      <c r="A36" s="33"/>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2"/>
    </row>
    <row r="37" spans="1:38" x14ac:dyDescent="0.25">
      <c r="A37" s="30" t="s">
        <v>39</v>
      </c>
      <c r="B37" s="31"/>
      <c r="C37" s="31"/>
      <c r="D37" s="31"/>
      <c r="E37" s="31"/>
      <c r="F37" s="31"/>
      <c r="G37" s="31"/>
      <c r="H37" s="31"/>
      <c r="I37" s="31"/>
      <c r="J37" s="31"/>
      <c r="K37" s="31"/>
      <c r="L37" s="31"/>
      <c r="M37" s="31"/>
      <c r="N37" s="31"/>
      <c r="O37" s="39" t="s">
        <v>40</v>
      </c>
      <c r="P37" s="31"/>
      <c r="Q37" s="31"/>
      <c r="R37" s="31"/>
      <c r="S37" s="31"/>
      <c r="T37" s="31"/>
      <c r="U37" s="31"/>
      <c r="V37" s="31"/>
      <c r="W37" s="31"/>
      <c r="X37" s="31"/>
      <c r="Y37" s="31"/>
      <c r="Z37" s="31"/>
      <c r="AA37" s="32"/>
    </row>
    <row r="38" spans="1:38" x14ac:dyDescent="0.25">
      <c r="A38" s="33"/>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2"/>
    </row>
    <row r="39" spans="1:38" x14ac:dyDescent="0.25">
      <c r="A39" s="33"/>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2"/>
    </row>
    <row r="40" spans="1:38" x14ac:dyDescent="0.25">
      <c r="A40" s="33"/>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2"/>
    </row>
    <row r="41" spans="1:38" x14ac:dyDescent="0.25">
      <c r="A41" s="33"/>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2"/>
    </row>
    <row r="42" spans="1:38" x14ac:dyDescent="0.25">
      <c r="A42" s="33"/>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2"/>
    </row>
    <row r="43" spans="1:38" x14ac:dyDescent="0.25">
      <c r="A43" s="33"/>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2"/>
    </row>
    <row r="44" spans="1:38" x14ac:dyDescent="0.25">
      <c r="A44" s="33"/>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2"/>
    </row>
    <row r="45" spans="1:38" x14ac:dyDescent="0.25">
      <c r="A45" s="33"/>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2"/>
    </row>
    <row r="46" spans="1:38" x14ac:dyDescent="0.25">
      <c r="A46" s="33"/>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2"/>
    </row>
    <row r="47" spans="1:38" x14ac:dyDescent="0.25">
      <c r="A47" s="33"/>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2"/>
    </row>
    <row r="48" spans="1:38" x14ac:dyDescent="0.25">
      <c r="A48" s="33"/>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2"/>
    </row>
    <row r="49" spans="1:27" x14ac:dyDescent="0.25">
      <c r="A49" s="33"/>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2"/>
    </row>
    <row r="50" spans="1:27" x14ac:dyDescent="0.25">
      <c r="A50" s="33"/>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2"/>
    </row>
    <row r="51" spans="1:27" x14ac:dyDescent="0.25">
      <c r="A51" s="33"/>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2"/>
    </row>
    <row r="52" spans="1:27" x14ac:dyDescent="0.25">
      <c r="A52" s="33"/>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2"/>
    </row>
    <row r="53" spans="1:27" x14ac:dyDescent="0.25">
      <c r="A53" s="33"/>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2"/>
    </row>
    <row r="54" spans="1:27" x14ac:dyDescent="0.25">
      <c r="A54" s="33"/>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2"/>
    </row>
    <row r="55" spans="1:27" x14ac:dyDescent="0.25">
      <c r="A55" s="30" t="s">
        <v>45</v>
      </c>
      <c r="B55" s="31"/>
      <c r="C55" s="31"/>
      <c r="D55" s="31"/>
      <c r="E55" s="31"/>
      <c r="F55" s="31"/>
      <c r="G55" s="31"/>
      <c r="H55" s="39" t="str">
        <f>$A$23</f>
        <v>(not included S6 corrections)</v>
      </c>
      <c r="I55" s="31"/>
      <c r="J55" s="31"/>
      <c r="K55" s="31"/>
      <c r="L55" s="31"/>
      <c r="M55" s="31"/>
      <c r="N55" s="31"/>
      <c r="O55" s="39" t="s">
        <v>43</v>
      </c>
      <c r="P55" s="31"/>
      <c r="Q55" s="31"/>
      <c r="R55" s="31"/>
      <c r="S55" s="31"/>
      <c r="T55" s="31"/>
      <c r="U55" s="31"/>
      <c r="V55" s="31"/>
      <c r="W55" s="31"/>
      <c r="X55" s="31"/>
      <c r="Y55" s="31"/>
      <c r="Z55" s="31"/>
      <c r="AA55" s="32"/>
    </row>
    <row r="56" spans="1:27" x14ac:dyDescent="0.25">
      <c r="A56" s="33"/>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2"/>
    </row>
    <row r="57" spans="1:27" x14ac:dyDescent="0.25">
      <c r="A57" s="33"/>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2"/>
    </row>
    <row r="58" spans="1:27" x14ac:dyDescent="0.25">
      <c r="A58" s="33"/>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2"/>
    </row>
    <row r="59" spans="1:27" x14ac:dyDescent="0.25">
      <c r="A59" s="33"/>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2"/>
    </row>
    <row r="60" spans="1:27" x14ac:dyDescent="0.25">
      <c r="A60" s="33"/>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2"/>
    </row>
    <row r="61" spans="1:27" x14ac:dyDescent="0.25">
      <c r="A61" s="33"/>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2"/>
    </row>
    <row r="62" spans="1:27" x14ac:dyDescent="0.25">
      <c r="A62" s="33"/>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2"/>
    </row>
    <row r="63" spans="1:27" x14ac:dyDescent="0.25">
      <c r="A63" s="33"/>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2"/>
    </row>
    <row r="64" spans="1:27" x14ac:dyDescent="0.25">
      <c r="A64" s="33"/>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2"/>
    </row>
    <row r="65" spans="1:27" x14ac:dyDescent="0.25">
      <c r="A65" s="33"/>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2"/>
    </row>
    <row r="66" spans="1:27" x14ac:dyDescent="0.25">
      <c r="A66" s="33"/>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2"/>
    </row>
    <row r="67" spans="1:27" x14ac:dyDescent="0.25">
      <c r="A67" s="33"/>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2"/>
    </row>
    <row r="68" spans="1:27" x14ac:dyDescent="0.25">
      <c r="A68" s="33"/>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2"/>
    </row>
    <row r="69" spans="1:27" x14ac:dyDescent="0.25">
      <c r="A69" s="33"/>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2"/>
    </row>
    <row r="70" spans="1:27" x14ac:dyDescent="0.25">
      <c r="A70" s="33"/>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2"/>
    </row>
    <row r="71" spans="1:27" x14ac:dyDescent="0.25">
      <c r="A71" s="33"/>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2"/>
    </row>
    <row r="72" spans="1:27" x14ac:dyDescent="0.25">
      <c r="A72" s="40"/>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2"/>
    </row>
    <row r="73" spans="1:27" ht="21" x14ac:dyDescent="0.35">
      <c r="A73" s="43" t="s">
        <v>41</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2"/>
    </row>
    <row r="74" spans="1:27" x14ac:dyDescent="0.25">
      <c r="A74" s="33"/>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2"/>
    </row>
    <row r="75" spans="1:27" x14ac:dyDescent="0.25">
      <c r="A75" s="30" t="s">
        <v>42</v>
      </c>
      <c r="B75" s="31"/>
      <c r="C75" s="31"/>
      <c r="D75" s="31"/>
      <c r="E75" s="31"/>
      <c r="F75" s="31"/>
      <c r="G75" s="31"/>
      <c r="H75" s="31"/>
      <c r="I75" s="31"/>
      <c r="J75" s="31"/>
      <c r="K75" s="31"/>
      <c r="L75" s="31"/>
      <c r="M75" s="31"/>
      <c r="N75" s="31"/>
      <c r="O75" s="39" t="s">
        <v>44</v>
      </c>
      <c r="P75" s="31"/>
      <c r="Q75" s="31"/>
      <c r="R75" s="31"/>
      <c r="S75" s="31"/>
      <c r="T75" s="31"/>
      <c r="U75" s="31"/>
      <c r="V75" s="31"/>
      <c r="W75" s="31"/>
      <c r="X75" s="31"/>
      <c r="Y75" s="31"/>
      <c r="Z75" s="31"/>
      <c r="AA75" s="32"/>
    </row>
    <row r="76" spans="1:27" x14ac:dyDescent="0.25">
      <c r="A76" s="33"/>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2"/>
    </row>
    <row r="77" spans="1:27" x14ac:dyDescent="0.25">
      <c r="A77" s="33"/>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2"/>
    </row>
    <row r="78" spans="1:27" x14ac:dyDescent="0.25">
      <c r="A78" s="33"/>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2"/>
    </row>
    <row r="79" spans="1:27" x14ac:dyDescent="0.25">
      <c r="A79" s="33"/>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2"/>
    </row>
    <row r="80" spans="1:27" x14ac:dyDescent="0.25">
      <c r="A80" s="33"/>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2"/>
    </row>
    <row r="81" spans="1:27" x14ac:dyDescent="0.25">
      <c r="A81" s="33"/>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2"/>
    </row>
    <row r="82" spans="1:27" x14ac:dyDescent="0.25">
      <c r="A82" s="33"/>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2"/>
    </row>
    <row r="83" spans="1:27" x14ac:dyDescent="0.25">
      <c r="A83" s="33"/>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2"/>
    </row>
    <row r="84" spans="1:27" x14ac:dyDescent="0.25">
      <c r="A84" s="33"/>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2"/>
    </row>
    <row r="85" spans="1:27" x14ac:dyDescent="0.25">
      <c r="A85" s="33"/>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2"/>
    </row>
    <row r="86" spans="1:27" x14ac:dyDescent="0.25">
      <c r="A86" s="33"/>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2"/>
    </row>
    <row r="87" spans="1:27" x14ac:dyDescent="0.25">
      <c r="A87" s="33"/>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2"/>
    </row>
    <row r="88" spans="1:27" x14ac:dyDescent="0.25">
      <c r="A88" s="33"/>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2"/>
    </row>
    <row r="89" spans="1:27" x14ac:dyDescent="0.25">
      <c r="A89" s="33"/>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2"/>
    </row>
    <row r="90" spans="1:27" x14ac:dyDescent="0.25">
      <c r="A90" s="33"/>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2"/>
    </row>
    <row r="91" spans="1:27" x14ac:dyDescent="0.25">
      <c r="A91" s="33"/>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2"/>
    </row>
    <row r="92" spans="1:27" x14ac:dyDescent="0.25">
      <c r="A92" s="33"/>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2"/>
    </row>
    <row r="93" spans="1:27" x14ac:dyDescent="0.25">
      <c r="A93" s="33"/>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2"/>
    </row>
    <row r="94" spans="1:27" x14ac:dyDescent="0.25">
      <c r="A94" s="30" t="s">
        <v>46</v>
      </c>
      <c r="B94" s="31"/>
      <c r="C94" s="31"/>
      <c r="D94" s="31"/>
      <c r="E94" s="31"/>
      <c r="F94" s="31"/>
      <c r="G94" s="31"/>
      <c r="H94" s="39" t="str">
        <f>$A$23</f>
        <v>(not included S6 corrections)</v>
      </c>
      <c r="I94" s="31"/>
      <c r="J94" s="31"/>
      <c r="K94" s="31"/>
      <c r="L94" s="31"/>
      <c r="M94" s="31"/>
      <c r="N94" s="31"/>
      <c r="O94" s="31"/>
      <c r="P94" s="31"/>
      <c r="Q94" s="31"/>
      <c r="R94" s="31"/>
      <c r="S94" s="31"/>
      <c r="T94" s="31"/>
      <c r="U94" s="31"/>
      <c r="V94" s="31"/>
      <c r="W94" s="31"/>
      <c r="X94" s="31"/>
      <c r="Y94" s="31"/>
      <c r="Z94" s="31"/>
      <c r="AA94" s="32"/>
    </row>
    <row r="95" spans="1:27" x14ac:dyDescent="0.25">
      <c r="A95" s="33"/>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2"/>
    </row>
    <row r="96" spans="1:27" x14ac:dyDescent="0.25">
      <c r="A96" s="33"/>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2"/>
    </row>
    <row r="97" spans="1:27" x14ac:dyDescent="0.25">
      <c r="A97" s="33"/>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2"/>
    </row>
    <row r="98" spans="1:27" x14ac:dyDescent="0.25">
      <c r="A98" s="33"/>
      <c r="B98" s="31"/>
      <c r="C98" s="31"/>
      <c r="D98" s="31"/>
      <c r="E98" s="31"/>
      <c r="F98" s="31"/>
      <c r="G98" s="31"/>
      <c r="H98" s="31"/>
      <c r="I98" s="31"/>
      <c r="J98" s="31"/>
      <c r="K98" s="31"/>
      <c r="L98" s="31"/>
      <c r="M98" s="31"/>
      <c r="N98" s="31"/>
      <c r="O98" s="39" t="s">
        <v>60</v>
      </c>
      <c r="P98" s="39"/>
      <c r="Q98" s="39"/>
      <c r="R98" s="68"/>
      <c r="S98" s="207" t="s">
        <v>33</v>
      </c>
      <c r="T98" s="69" t="s">
        <v>75</v>
      </c>
      <c r="U98" s="31"/>
      <c r="V98" s="31"/>
      <c r="W98" s="31"/>
      <c r="X98" s="31"/>
      <c r="Y98" s="31"/>
      <c r="Z98" s="31"/>
      <c r="AA98" s="32"/>
    </row>
    <row r="99" spans="1:27" x14ac:dyDescent="0.25">
      <c r="A99" s="33"/>
      <c r="B99" s="31"/>
      <c r="C99" s="31"/>
      <c r="D99" s="31"/>
      <c r="E99" s="31"/>
      <c r="F99" s="31"/>
      <c r="G99" s="31"/>
      <c r="H99" s="31"/>
      <c r="I99" s="31"/>
      <c r="J99" s="31"/>
      <c r="K99" s="31"/>
      <c r="L99" s="31"/>
      <c r="M99" s="31"/>
      <c r="N99" s="31"/>
      <c r="O99" s="69"/>
      <c r="P99" s="31"/>
      <c r="Q99" s="31"/>
      <c r="R99" s="31"/>
      <c r="S99" s="31"/>
      <c r="T99" s="31"/>
      <c r="U99" s="31"/>
      <c r="V99" s="31"/>
      <c r="W99" s="31"/>
      <c r="X99" s="31"/>
      <c r="Y99" s="31"/>
      <c r="Z99" s="31"/>
      <c r="AA99" s="32"/>
    </row>
    <row r="100" spans="1:27" x14ac:dyDescent="0.25">
      <c r="A100" s="33"/>
      <c r="B100" s="31"/>
      <c r="C100" s="31"/>
      <c r="D100" s="31"/>
      <c r="E100" s="31"/>
      <c r="F100" s="31"/>
      <c r="G100" s="31"/>
      <c r="H100" s="31"/>
      <c r="I100" s="31"/>
      <c r="J100" s="31"/>
      <c r="K100" s="31"/>
      <c r="L100" s="31"/>
      <c r="M100" s="31"/>
      <c r="N100" s="31"/>
      <c r="O100" s="71"/>
      <c r="P100" s="31"/>
      <c r="Q100" s="31"/>
      <c r="R100" s="31"/>
      <c r="S100" s="31"/>
      <c r="T100" s="31"/>
      <c r="U100" s="31"/>
      <c r="V100" s="31"/>
      <c r="W100" s="31"/>
      <c r="X100" s="31"/>
      <c r="Y100" s="31"/>
      <c r="Z100" s="31"/>
      <c r="AA100" s="32"/>
    </row>
    <row r="101" spans="1:27" x14ac:dyDescent="0.25">
      <c r="A101" s="33"/>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2"/>
    </row>
    <row r="102" spans="1:27" x14ac:dyDescent="0.25">
      <c r="A102" s="33"/>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2"/>
    </row>
    <row r="103" spans="1:27" x14ac:dyDescent="0.25">
      <c r="A103" s="33"/>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2"/>
    </row>
    <row r="104" spans="1:27" x14ac:dyDescent="0.25">
      <c r="A104" s="33"/>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2"/>
    </row>
    <row r="105" spans="1:27" x14ac:dyDescent="0.25">
      <c r="A105" s="33"/>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2"/>
    </row>
    <row r="106" spans="1:27" x14ac:dyDescent="0.25">
      <c r="A106" s="33"/>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2"/>
    </row>
    <row r="107" spans="1:27" x14ac:dyDescent="0.25">
      <c r="A107" s="33"/>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2"/>
    </row>
    <row r="108" spans="1:27" x14ac:dyDescent="0.25">
      <c r="A108" s="33"/>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2"/>
    </row>
    <row r="109" spans="1:27" x14ac:dyDescent="0.25">
      <c r="A109" s="33"/>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2"/>
    </row>
    <row r="110" spans="1:27" x14ac:dyDescent="0.25">
      <c r="A110" s="33"/>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2"/>
    </row>
    <row r="111" spans="1:27" x14ac:dyDescent="0.25">
      <c r="A111" s="33"/>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2"/>
    </row>
    <row r="112" spans="1:27" ht="16.5" thickBot="1" x14ac:dyDescent="0.3">
      <c r="A112" s="34"/>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6"/>
    </row>
    <row r="113" spans="1:20" ht="23.25" x14ac:dyDescent="0.35">
      <c r="A113" s="27" t="s">
        <v>13</v>
      </c>
      <c r="B113" s="28"/>
      <c r="C113" s="28"/>
      <c r="D113" s="28"/>
      <c r="E113" s="28"/>
      <c r="F113" s="28"/>
      <c r="G113" s="28"/>
      <c r="H113" s="28"/>
      <c r="I113" s="28"/>
      <c r="J113" s="28"/>
      <c r="K113" s="28"/>
      <c r="L113" s="28"/>
      <c r="M113" s="28"/>
      <c r="N113" s="28"/>
      <c r="O113" s="28"/>
      <c r="P113" s="28"/>
      <c r="Q113" s="28"/>
      <c r="R113" s="28"/>
      <c r="S113" s="28"/>
      <c r="T113" s="29"/>
    </row>
    <row r="114" spans="1:20" ht="23.25" x14ac:dyDescent="0.35">
      <c r="A114" s="44"/>
      <c r="B114" s="39" t="s">
        <v>64</v>
      </c>
      <c r="C114" s="31"/>
      <c r="D114" s="31"/>
      <c r="E114" s="31"/>
      <c r="F114" s="31"/>
      <c r="G114" s="31"/>
      <c r="H114" s="31"/>
      <c r="I114" s="39" t="s">
        <v>48</v>
      </c>
      <c r="J114" s="31"/>
      <c r="K114" s="31"/>
      <c r="L114" s="31"/>
      <c r="M114" s="31"/>
      <c r="N114" s="31"/>
      <c r="O114" s="39" t="str">
        <f>$A$23</f>
        <v>(not included S6 corrections)</v>
      </c>
      <c r="P114" s="31"/>
      <c r="Q114" s="31"/>
      <c r="R114" s="31"/>
      <c r="S114" s="31"/>
      <c r="T114" s="32"/>
    </row>
    <row r="115" spans="1:20" ht="23.25" x14ac:dyDescent="0.35">
      <c r="A115" s="44"/>
      <c r="B115" s="31"/>
      <c r="C115" s="31"/>
      <c r="D115" s="31"/>
      <c r="E115" s="31"/>
      <c r="F115" s="31"/>
      <c r="G115" s="31"/>
      <c r="H115" s="31"/>
      <c r="I115" s="31"/>
      <c r="J115" s="31"/>
      <c r="K115" s="31"/>
      <c r="L115" s="31"/>
      <c r="M115" s="31"/>
      <c r="N115" s="31"/>
      <c r="O115" s="31" t="s">
        <v>152</v>
      </c>
      <c r="P115" s="31"/>
      <c r="Q115" s="31"/>
      <c r="R115" s="31"/>
      <c r="S115" s="31"/>
      <c r="T115" s="32"/>
    </row>
    <row r="116" spans="1:20" ht="23.25" x14ac:dyDescent="0.35">
      <c r="A116" s="44"/>
      <c r="B116" s="31"/>
      <c r="C116" s="31"/>
      <c r="D116" s="31"/>
      <c r="E116" s="31"/>
      <c r="F116" s="31"/>
      <c r="G116" s="31"/>
      <c r="H116" s="31"/>
      <c r="I116" s="31"/>
      <c r="J116" s="31"/>
      <c r="K116" s="31"/>
      <c r="L116" s="31"/>
      <c r="M116" s="31"/>
      <c r="N116" s="31"/>
      <c r="O116" s="31"/>
      <c r="P116" s="31"/>
      <c r="Q116" s="31"/>
      <c r="R116" s="31"/>
      <c r="S116" s="31"/>
      <c r="T116" s="32"/>
    </row>
    <row r="117" spans="1:20" ht="23.25" x14ac:dyDescent="0.35">
      <c r="A117" s="44"/>
      <c r="B117" s="31"/>
      <c r="C117" s="31"/>
      <c r="D117" s="31"/>
      <c r="E117" s="31"/>
      <c r="F117" s="31"/>
      <c r="G117" s="31"/>
      <c r="H117" s="31"/>
      <c r="I117" s="31"/>
      <c r="J117" s="31"/>
      <c r="K117" s="31"/>
      <c r="L117" s="31"/>
      <c r="M117" s="31"/>
      <c r="N117" s="31"/>
      <c r="O117" s="31"/>
      <c r="P117" s="31"/>
      <c r="Q117" s="31"/>
      <c r="R117" s="31"/>
      <c r="S117" s="31"/>
      <c r="T117" s="32"/>
    </row>
    <row r="118" spans="1:20" ht="23.25" x14ac:dyDescent="0.35">
      <c r="A118" s="44"/>
      <c r="B118" s="31"/>
      <c r="C118" s="31"/>
      <c r="D118" s="31"/>
      <c r="E118" s="31"/>
      <c r="F118" s="31"/>
      <c r="G118" s="31"/>
      <c r="H118" s="31"/>
      <c r="I118" s="31"/>
      <c r="J118" s="31"/>
      <c r="K118" s="31"/>
      <c r="L118" s="31"/>
      <c r="M118" s="31"/>
      <c r="N118" s="31"/>
      <c r="O118" s="31"/>
      <c r="P118" s="31"/>
      <c r="Q118" s="31"/>
      <c r="R118" s="31"/>
      <c r="S118" s="31"/>
      <c r="T118" s="32"/>
    </row>
    <row r="119" spans="1:20" ht="23.25" x14ac:dyDescent="0.35">
      <c r="A119" s="44"/>
      <c r="B119" s="31"/>
      <c r="C119" s="31"/>
      <c r="D119" s="31"/>
      <c r="E119" s="31"/>
      <c r="F119" s="31"/>
      <c r="G119" s="31"/>
      <c r="H119" s="31"/>
      <c r="I119" s="31"/>
      <c r="J119" s="31"/>
      <c r="K119" s="31"/>
      <c r="L119" s="31"/>
      <c r="M119" s="31"/>
      <c r="N119" s="31"/>
      <c r="O119" s="31"/>
      <c r="P119" s="31"/>
      <c r="Q119" s="31"/>
      <c r="R119" s="31"/>
      <c r="S119" s="31"/>
      <c r="T119" s="32"/>
    </row>
    <row r="120" spans="1:20" ht="23.25" x14ac:dyDescent="0.35">
      <c r="A120" s="44"/>
      <c r="B120" s="31"/>
      <c r="C120" s="31"/>
      <c r="D120" s="31"/>
      <c r="E120" s="31"/>
      <c r="F120" s="31"/>
      <c r="G120" s="31"/>
      <c r="H120" s="31"/>
      <c r="I120" s="31"/>
      <c r="J120" s="31"/>
      <c r="K120" s="31"/>
      <c r="L120" s="31"/>
      <c r="M120" s="31"/>
      <c r="N120" s="31"/>
      <c r="O120" s="31"/>
      <c r="P120" s="31"/>
      <c r="Q120" s="31"/>
      <c r="R120" s="31"/>
      <c r="S120" s="31"/>
      <c r="T120" s="32"/>
    </row>
    <row r="121" spans="1:20" ht="23.25" x14ac:dyDescent="0.35">
      <c r="A121" s="44"/>
      <c r="B121" s="31"/>
      <c r="C121" s="31"/>
      <c r="D121" s="31"/>
      <c r="E121" s="31"/>
      <c r="F121" s="31"/>
      <c r="G121" s="31"/>
      <c r="H121" s="31"/>
      <c r="I121" s="31"/>
      <c r="J121" s="31"/>
      <c r="K121" s="31"/>
      <c r="L121" s="31"/>
      <c r="M121" s="31"/>
      <c r="N121" s="31"/>
      <c r="O121" s="31"/>
      <c r="P121" s="31"/>
      <c r="Q121" s="31"/>
      <c r="R121" s="31"/>
      <c r="S121" s="31"/>
      <c r="T121" s="32"/>
    </row>
    <row r="122" spans="1:20" ht="23.25" x14ac:dyDescent="0.35">
      <c r="A122" s="44"/>
      <c r="B122" s="31"/>
      <c r="C122" s="31"/>
      <c r="D122" s="31"/>
      <c r="E122" s="31"/>
      <c r="F122" s="31"/>
      <c r="G122" s="31"/>
      <c r="H122" s="31"/>
      <c r="I122" s="31"/>
      <c r="J122" s="31"/>
      <c r="K122" s="31"/>
      <c r="L122" s="31"/>
      <c r="M122" s="31"/>
      <c r="N122" s="31"/>
      <c r="O122" s="31"/>
      <c r="P122" s="31"/>
      <c r="Q122" s="31"/>
      <c r="R122" s="31"/>
      <c r="S122" s="31"/>
      <c r="T122" s="32"/>
    </row>
    <row r="123" spans="1:20" ht="23.25" x14ac:dyDescent="0.35">
      <c r="A123" s="44"/>
      <c r="B123" s="31"/>
      <c r="C123" s="31"/>
      <c r="D123" s="31"/>
      <c r="E123" s="31"/>
      <c r="F123" s="31"/>
      <c r="G123" s="31"/>
      <c r="H123" s="31"/>
      <c r="I123" s="31"/>
      <c r="J123" s="31"/>
      <c r="K123" s="31"/>
      <c r="L123" s="31"/>
      <c r="M123" s="31"/>
      <c r="N123" s="31"/>
      <c r="O123" s="31"/>
      <c r="P123" s="31"/>
      <c r="Q123" s="31"/>
      <c r="R123" s="31"/>
      <c r="S123" s="31"/>
      <c r="T123" s="32"/>
    </row>
    <row r="124" spans="1:20" ht="23.25" x14ac:dyDescent="0.35">
      <c r="A124" s="44"/>
      <c r="B124" s="31"/>
      <c r="C124" s="31"/>
      <c r="D124" s="31"/>
      <c r="E124" s="31"/>
      <c r="F124" s="31"/>
      <c r="G124" s="31"/>
      <c r="H124" s="31"/>
      <c r="I124" s="31"/>
      <c r="J124" s="31"/>
      <c r="K124" s="31"/>
      <c r="L124" s="31"/>
      <c r="M124" s="31"/>
      <c r="N124" s="31"/>
      <c r="O124" s="31"/>
      <c r="P124" s="31"/>
      <c r="Q124" s="31"/>
      <c r="R124" s="31"/>
      <c r="S124" s="31"/>
      <c r="T124" s="32"/>
    </row>
    <row r="125" spans="1:20" ht="23.25" x14ac:dyDescent="0.35">
      <c r="A125" s="44"/>
      <c r="B125" s="31"/>
      <c r="C125" s="31"/>
      <c r="D125" s="31"/>
      <c r="E125" s="31"/>
      <c r="F125" s="31"/>
      <c r="G125" s="31"/>
      <c r="H125" s="31"/>
      <c r="I125" s="31"/>
      <c r="J125" s="31"/>
      <c r="K125" s="31"/>
      <c r="L125" s="31"/>
      <c r="M125" s="31"/>
      <c r="N125" s="31"/>
      <c r="O125" s="31"/>
      <c r="P125" s="31"/>
      <c r="Q125" s="31"/>
      <c r="R125" s="31"/>
      <c r="S125" s="31"/>
      <c r="T125" s="32"/>
    </row>
    <row r="126" spans="1:20" ht="23.25" x14ac:dyDescent="0.35">
      <c r="A126" s="45"/>
      <c r="B126" s="41"/>
      <c r="C126" s="41"/>
      <c r="D126" s="41"/>
      <c r="E126" s="41"/>
      <c r="F126" s="41"/>
      <c r="G126" s="41"/>
      <c r="H126" s="41"/>
      <c r="I126" s="41"/>
      <c r="J126" s="41"/>
      <c r="K126" s="41"/>
      <c r="L126" s="41"/>
      <c r="M126" s="41"/>
      <c r="N126" s="41"/>
      <c r="O126" s="41"/>
      <c r="P126" s="41"/>
      <c r="Q126" s="41"/>
      <c r="R126" s="41"/>
      <c r="S126" s="41"/>
      <c r="T126" s="42"/>
    </row>
  </sheetData>
  <pageMargins left="0.25" right="0.25" top="0.75" bottom="0.75" header="0.3" footer="0.3"/>
  <pageSetup paperSize="9" scale="22"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Cover sheet</vt:lpstr>
      <vt:lpstr>Guide</vt:lpstr>
      <vt:lpstr>VIC</vt:lpstr>
      <vt:lpstr>NSW</vt:lpstr>
      <vt:lpstr>QLD</vt:lpstr>
      <vt:lpstr>Utilisation charting</vt:lpstr>
      <vt:lpstr>'Cover sheet'!Print_Area</vt:lpstr>
      <vt:lpstr>Guide!Print_Area</vt:lpstr>
    </vt:vector>
  </TitlesOfParts>
  <Company>Australian Energy Market Operator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Submission 42 - Attachment - Australian Energy Market Operator - Electricity Network Regulation - Public inquiry</dc:title>
  <dc:creator>Australian Energy Market Operator</dc:creator>
  <cp:lastModifiedBy>Productivity Commission</cp:lastModifiedBy>
  <cp:lastPrinted>2012-08-03T03:52:05Z</cp:lastPrinted>
  <dcterms:created xsi:type="dcterms:W3CDTF">2011-12-29T00:07:13Z</dcterms:created>
  <dcterms:modified xsi:type="dcterms:W3CDTF">2012-08-13T04:55:54Z</dcterms:modified>
</cp:coreProperties>
</file>