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charts/chart1.xml" ContentType="application/vnd.openxmlformats-officedocument.drawingml.chart+xml"/>
  <Override PartName="/xl/drawings/drawing10.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040" yWindow="930" windowWidth="20070" windowHeight="14175" tabRatio="591"/>
  </bookViews>
  <sheets>
    <sheet name="About this spreadsheet" sheetId="20" r:id="rId1"/>
    <sheet name="Contents" sheetId="34" r:id="rId2"/>
    <sheet name="Summary" sheetId="11" r:id="rId3"/>
    <sheet name="Assumption parameters" sheetId="16" r:id="rId4"/>
    <sheet name="(1) Constrained Peaky regions" sheetId="7" r:id="rId5"/>
    <sheet name="(2) NEM phase in" sheetId="8" r:id="rId6"/>
    <sheet name="(3) NEM phase TOU" sheetId="9" r:id="rId7"/>
    <sheet name="(4) NEM DLC no SM" sheetId="10" r:id="rId8"/>
    <sheet name="Airconditioning results" sheetId="26" r:id="rId9"/>
    <sheet name="Summary LRMC&amp;SRMC" sheetId="32" r:id="rId10"/>
    <sheet name="Various LRMC" sheetId="30" r:id="rId11"/>
    <sheet name="AECOM LRMC&amp;SRMC" sheetId="31" r:id="rId12"/>
    <sheet name="One off" sheetId="23" r:id="rId13"/>
    <sheet name="Constrained peaky networks (v2)" sheetId="12" r:id="rId14"/>
    <sheet name="References" sheetId="33" r:id="rId15"/>
  </sheets>
  <definedNames>
    <definedName name="_ftnref1" localSheetId="4">'(1) Constrained Peaky regions'!$A$10</definedName>
    <definedName name="_ftnref1" localSheetId="5">'(2) NEM phase in'!$A$6</definedName>
    <definedName name="_ftnref1" localSheetId="6">'(3) NEM phase TOU'!$A$6</definedName>
    <definedName name="_ftnref1" localSheetId="7">'(4) NEM DLC no SM'!$A$10</definedName>
    <definedName name="_ftnref1" localSheetId="13">'Constrained peaky networks (v2)'!$A$10</definedName>
    <definedName name="_ftnref1" localSheetId="12">'One off'!$A$10</definedName>
    <definedName name="a_val">'One off'!$G$4</definedName>
    <definedName name="alpha">'Constrained peaky networks (v2)'!$B$62</definedName>
    <definedName name="b_val">'One off'!$G$6</definedName>
    <definedName name="before_after_price">'(2) NEM phase in'!$D$3</definedName>
    <definedName name="beta">'Constrained peaky networks (v2)'!$B$63</definedName>
    <definedName name="business_eff_high">'Assumption parameters'!$B$22</definedName>
    <definedName name="business_eff_low">'Assumption parameters'!$B$20</definedName>
    <definedName name="business_eff_medium">'Assumption parameters'!$B$21</definedName>
    <definedName name="Cost_DirectLC_high">'Assumption parameters'!$B$28</definedName>
    <definedName name="Cost_DirectLC_low">'Assumption parameters'!$B$26</definedName>
    <definedName name="Cost_DirectLC_medium">'Assumption parameters'!$B$27</definedName>
    <definedName name="D_ratio">'Various LRMC'!$B$22</definedName>
    <definedName name="deferral_multiplier">'Constrained peaky networks (v2)'!$E$3</definedName>
    <definedName name="Direct_load_control_devices">'(4) NEM DLC no SM'!$B$3</definedName>
    <definedName name="discount_rate">'Assumption parameters'!$B$2</definedName>
    <definedName name="Discount_Rate_AC">'Airconditioning results'!$B$23</definedName>
    <definedName name="discount_rate_LRMC">'Various LRMC'!$C$10</definedName>
    <definedName name="DLC_cost2">'Assumption parameters'!$B$32</definedName>
    <definedName name="DLC_response_high">'Assumption parameters'!$B$51</definedName>
    <definedName name="DLC_response_low">'Assumption parameters'!$B$49</definedName>
    <definedName name="DLC_response_medium">'Assumption parameters'!$B$50</definedName>
    <definedName name="DLC_sup_high">'Assumption parameters'!$B$32</definedName>
    <definedName name="DLC_sup_low">'Assumption parameters'!$B$31</definedName>
    <definedName name="Efficiencies">#REF!</definedName>
    <definedName name="elasticity_high">'Assumption parameters'!$B$37</definedName>
    <definedName name="elasticity_low">'Assumption parameters'!$B$35</definedName>
    <definedName name="elasticity_medium">'Assumption parameters'!$B$36</definedName>
    <definedName name="IT_update_high">'Assumption parameters'!$B$12</definedName>
    <definedName name="IT_update_low">'Assumption parameters'!$B$10</definedName>
    <definedName name="IT_update_medium">'Assumption parameters'!$B$11</definedName>
    <definedName name="K_val">'One off'!$G$5</definedName>
    <definedName name="M_val">'One off'!$G$9</definedName>
    <definedName name="maxeffect_years">'One off'!$B$7</definedName>
    <definedName name="meters_by_region">'(1) Constrained Peaky regions'!$B$3</definedName>
    <definedName name="meters_nonVic" localSheetId="12">'Assumption parameters'!$B$82</definedName>
    <definedName name="Meters_NonVic">'Assumption parameters'!$B$82</definedName>
    <definedName name="Participation_DLC_high">'Assumption parameters'!$B$63</definedName>
    <definedName name="Participation_DLC_low">'Assumption parameters'!$B$61</definedName>
    <definedName name="Participation_DLC_medium">'Assumption parameters'!$B$62</definedName>
    <definedName name="pay_high">'Assumption parameters'!$B$57</definedName>
    <definedName name="Pay_low">'Assumption parameters'!$B$55</definedName>
    <definedName name="Pay_middle">'Assumption parameters'!$B$56</definedName>
    <definedName name="peak_use_rate">'Airconditioning results'!$B$25</definedName>
    <definedName name="PeakD_nonVic_max" localSheetId="12">'One off'!$B$4</definedName>
    <definedName name="PeakD_nonVic_max">'Assumption parameters'!$B$69</definedName>
    <definedName name="PeakD_nonVic_medium" localSheetId="12">'One off'!$D$4</definedName>
    <definedName name="PeakD_nonVic_medium">'Assumption parameters'!$B$68</definedName>
    <definedName name="PeakD_nonVic_min" localSheetId="12">'One off'!$C$4</definedName>
    <definedName name="PeakD_nonVic_min">'Assumption parameters'!$B$67</definedName>
    <definedName name="power_rate">'Airconditioning results'!$B$26</definedName>
    <definedName name="price_ratio">'Constrained peaky networks (v2)'!$B$7</definedName>
    <definedName name="Q_val">'One off'!$G$8</definedName>
    <definedName name="Rollout_yrs">'(2) NEM phase in'!$D$2</definedName>
    <definedName name="savings_high">'Assumption parameters'!$B$44</definedName>
    <definedName name="savings_low">'Assumption parameters'!$B$42</definedName>
    <definedName name="savings_medium">'Assumption parameters'!$B$43</definedName>
    <definedName name="smart_meter_costs_high">'Assumption parameters'!$B$7</definedName>
    <definedName name="smart_meter_costs_low">'Assumption parameters'!$B$5</definedName>
    <definedName name="smart_meter_costs_medium">'Assumption parameters'!$B$6</definedName>
    <definedName name="solver_adj" localSheetId="4" hidden="1">'(1) Constrained Peaky regions'!$B$63</definedName>
    <definedName name="solver_adj" localSheetId="5" hidden="1">'(2) NEM phase in'!$B$63</definedName>
    <definedName name="solver_adj" localSheetId="6" hidden="1">'(3) NEM phase TOU'!$B$63</definedName>
    <definedName name="solver_adj" localSheetId="7" hidden="1">'(4) NEM DLC no SM'!$B$62</definedName>
    <definedName name="solver_adj" localSheetId="13" hidden="1">'Constrained peaky networks (v2)'!$B$62</definedName>
    <definedName name="solver_cvg" localSheetId="4" hidden="1">0.0001</definedName>
    <definedName name="solver_cvg" localSheetId="5" hidden="1">0.0001</definedName>
    <definedName name="solver_cvg" localSheetId="6" hidden="1">0.0001</definedName>
    <definedName name="solver_cvg" localSheetId="7" hidden="1">0.0001</definedName>
    <definedName name="solver_cvg" localSheetId="13" hidden="1">0.0001</definedName>
    <definedName name="solver_drv" localSheetId="4" hidden="1">1</definedName>
    <definedName name="solver_drv" localSheetId="5" hidden="1">1</definedName>
    <definedName name="solver_drv" localSheetId="6" hidden="1">1</definedName>
    <definedName name="solver_drv" localSheetId="7" hidden="1">1</definedName>
    <definedName name="solver_drv" localSheetId="13" hidden="1">1</definedName>
    <definedName name="solver_eng" localSheetId="4" hidden="1">1</definedName>
    <definedName name="solver_eng" localSheetId="5" hidden="1">1</definedName>
    <definedName name="solver_eng" localSheetId="6" hidden="1">1</definedName>
    <definedName name="solver_eng" localSheetId="7" hidden="1">1</definedName>
    <definedName name="solver_eng" localSheetId="13" hidden="1">1</definedName>
    <definedName name="solver_est" localSheetId="4" hidden="1">1</definedName>
    <definedName name="solver_est" localSheetId="5" hidden="1">1</definedName>
    <definedName name="solver_est" localSheetId="6" hidden="1">1</definedName>
    <definedName name="solver_est" localSheetId="7" hidden="1">1</definedName>
    <definedName name="solver_est" localSheetId="13" hidden="1">1</definedName>
    <definedName name="solver_itr" localSheetId="4" hidden="1">2147483647</definedName>
    <definedName name="solver_itr" localSheetId="5" hidden="1">2147483647</definedName>
    <definedName name="solver_itr" localSheetId="6" hidden="1">2147483647</definedName>
    <definedName name="solver_itr" localSheetId="7" hidden="1">2147483647</definedName>
    <definedName name="solver_itr" localSheetId="13" hidden="1">2147483647</definedName>
    <definedName name="solver_mip" localSheetId="4" hidden="1">2147483647</definedName>
    <definedName name="solver_mip" localSheetId="5" hidden="1">2147483647</definedName>
    <definedName name="solver_mip" localSheetId="6" hidden="1">2147483647</definedName>
    <definedName name="solver_mip" localSheetId="7" hidden="1">2147483647</definedName>
    <definedName name="solver_mip" localSheetId="13" hidden="1">2147483647</definedName>
    <definedName name="solver_mni" localSheetId="4" hidden="1">30</definedName>
    <definedName name="solver_mni" localSheetId="5" hidden="1">30</definedName>
    <definedName name="solver_mni" localSheetId="6" hidden="1">30</definedName>
    <definedName name="solver_mni" localSheetId="7" hidden="1">30</definedName>
    <definedName name="solver_mni" localSheetId="13" hidden="1">30</definedName>
    <definedName name="solver_mrt" localSheetId="4" hidden="1">0.075</definedName>
    <definedName name="solver_mrt" localSheetId="5" hidden="1">0.075</definedName>
    <definedName name="solver_mrt" localSheetId="6" hidden="1">0.075</definedName>
    <definedName name="solver_mrt" localSheetId="7" hidden="1">0.075</definedName>
    <definedName name="solver_mrt" localSheetId="13" hidden="1">0.075</definedName>
    <definedName name="solver_msl" localSheetId="4" hidden="1">2</definedName>
    <definedName name="solver_msl" localSheetId="5" hidden="1">2</definedName>
    <definedName name="solver_msl" localSheetId="6" hidden="1">2</definedName>
    <definedName name="solver_msl" localSheetId="7" hidden="1">2</definedName>
    <definedName name="solver_msl" localSheetId="13" hidden="1">2</definedName>
    <definedName name="solver_neg" localSheetId="4" hidden="1">1</definedName>
    <definedName name="solver_neg" localSheetId="5" hidden="1">1</definedName>
    <definedName name="solver_neg" localSheetId="6" hidden="1">1</definedName>
    <definedName name="solver_neg" localSheetId="7" hidden="1">1</definedName>
    <definedName name="solver_neg" localSheetId="13" hidden="1">1</definedName>
    <definedName name="solver_nod" localSheetId="4" hidden="1">2147483647</definedName>
    <definedName name="solver_nod" localSheetId="5" hidden="1">2147483647</definedName>
    <definedName name="solver_nod" localSheetId="6" hidden="1">2147483647</definedName>
    <definedName name="solver_nod" localSheetId="7" hidden="1">2147483647</definedName>
    <definedName name="solver_nod" localSheetId="13" hidden="1">2147483647</definedName>
    <definedName name="solver_num" localSheetId="4" hidden="1">0</definedName>
    <definedName name="solver_num" localSheetId="5" hidden="1">0</definedName>
    <definedName name="solver_num" localSheetId="6" hidden="1">0</definedName>
    <definedName name="solver_num" localSheetId="7" hidden="1">0</definedName>
    <definedName name="solver_num" localSheetId="13" hidden="1">0</definedName>
    <definedName name="solver_nwt" localSheetId="4" hidden="1">1</definedName>
    <definedName name="solver_nwt" localSheetId="5" hidden="1">1</definedName>
    <definedName name="solver_nwt" localSheetId="6" hidden="1">1</definedName>
    <definedName name="solver_nwt" localSheetId="7" hidden="1">1</definedName>
    <definedName name="solver_nwt" localSheetId="13" hidden="1">1</definedName>
    <definedName name="solver_opt" localSheetId="4" hidden="1">'(1) Constrained Peaky regions'!$B$65</definedName>
    <definedName name="solver_opt" localSheetId="5" hidden="1">'(2) NEM phase in'!$B$65</definedName>
    <definedName name="solver_opt" localSheetId="6" hidden="1">'(3) NEM phase TOU'!$B$65</definedName>
    <definedName name="solver_opt" localSheetId="7" hidden="1">'(4) NEM DLC no SM'!$B$64</definedName>
    <definedName name="solver_opt" localSheetId="13" hidden="1">'Constrained peaky networks (v2)'!$B$64</definedName>
    <definedName name="solver_pre" localSheetId="4" hidden="1">0.000001</definedName>
    <definedName name="solver_pre" localSheetId="5" hidden="1">0.000001</definedName>
    <definedName name="solver_pre" localSheetId="6" hidden="1">0.000001</definedName>
    <definedName name="solver_pre" localSheetId="7" hidden="1">0.000001</definedName>
    <definedName name="solver_pre" localSheetId="13" hidden="1">0.000001</definedName>
    <definedName name="solver_rbv" localSheetId="4" hidden="1">1</definedName>
    <definedName name="solver_rbv" localSheetId="5" hidden="1">1</definedName>
    <definedName name="solver_rbv" localSheetId="6" hidden="1">1</definedName>
    <definedName name="solver_rbv" localSheetId="7" hidden="1">1</definedName>
    <definedName name="solver_rbv" localSheetId="13" hidden="1">1</definedName>
    <definedName name="solver_rlx" localSheetId="4" hidden="1">2</definedName>
    <definedName name="solver_rlx" localSheetId="5" hidden="1">2</definedName>
    <definedName name="solver_rlx" localSheetId="6" hidden="1">2</definedName>
    <definedName name="solver_rlx" localSheetId="7" hidden="1">2</definedName>
    <definedName name="solver_rlx" localSheetId="13" hidden="1">2</definedName>
    <definedName name="solver_rsd" localSheetId="4" hidden="1">0</definedName>
    <definedName name="solver_rsd" localSheetId="5" hidden="1">0</definedName>
    <definedName name="solver_rsd" localSheetId="6" hidden="1">0</definedName>
    <definedName name="solver_rsd" localSheetId="7" hidden="1">0</definedName>
    <definedName name="solver_rsd" localSheetId="13" hidden="1">0</definedName>
    <definedName name="solver_scl" localSheetId="4" hidden="1">1</definedName>
    <definedName name="solver_scl" localSheetId="5" hidden="1">1</definedName>
    <definedName name="solver_scl" localSheetId="6" hidden="1">1</definedName>
    <definedName name="solver_scl" localSheetId="7" hidden="1">1</definedName>
    <definedName name="solver_scl" localSheetId="13" hidden="1">1</definedName>
    <definedName name="solver_sho" localSheetId="4" hidden="1">2</definedName>
    <definedName name="solver_sho" localSheetId="5" hidden="1">2</definedName>
    <definedName name="solver_sho" localSheetId="6" hidden="1">2</definedName>
    <definedName name="solver_sho" localSheetId="7" hidden="1">2</definedName>
    <definedName name="solver_sho" localSheetId="13" hidden="1">2</definedName>
    <definedName name="solver_ssz" localSheetId="4" hidden="1">100</definedName>
    <definedName name="solver_ssz" localSheetId="5" hidden="1">100</definedName>
    <definedName name="solver_ssz" localSheetId="6" hidden="1">100</definedName>
    <definedName name="solver_ssz" localSheetId="7" hidden="1">100</definedName>
    <definedName name="solver_ssz" localSheetId="13" hidden="1">100</definedName>
    <definedName name="solver_tim" localSheetId="4" hidden="1">2147483647</definedName>
    <definedName name="solver_tim" localSheetId="5" hidden="1">2147483647</definedName>
    <definedName name="solver_tim" localSheetId="6" hidden="1">2147483647</definedName>
    <definedName name="solver_tim" localSheetId="7" hidden="1">2147483647</definedName>
    <definedName name="solver_tim" localSheetId="13" hidden="1">2147483647</definedName>
    <definedName name="solver_tol" localSheetId="4" hidden="1">0.01</definedName>
    <definedName name="solver_tol" localSheetId="5" hidden="1">0.01</definedName>
    <definedName name="solver_tol" localSheetId="6" hidden="1">0.01</definedName>
    <definedName name="solver_tol" localSheetId="7" hidden="1">0.01</definedName>
    <definedName name="solver_tol" localSheetId="13" hidden="1">0.01</definedName>
    <definedName name="solver_typ" localSheetId="4" hidden="1">3</definedName>
    <definedName name="solver_typ" localSheetId="5" hidden="1">3</definedName>
    <definedName name="solver_typ" localSheetId="6" hidden="1">3</definedName>
    <definedName name="solver_typ" localSheetId="7" hidden="1">3</definedName>
    <definedName name="solver_typ" localSheetId="13" hidden="1">3</definedName>
    <definedName name="solver_val" localSheetId="4" hidden="1">0</definedName>
    <definedName name="solver_val" localSheetId="5" hidden="1">0</definedName>
    <definedName name="solver_val" localSheetId="6" hidden="1">0</definedName>
    <definedName name="solver_val" localSheetId="7" hidden="1">0</definedName>
    <definedName name="solver_val" localSheetId="13" hidden="1">0</definedName>
    <definedName name="solver_ver" localSheetId="4" hidden="1">3</definedName>
    <definedName name="solver_ver" localSheetId="5" hidden="1">3</definedName>
    <definedName name="solver_ver" localSheetId="6" hidden="1">3</definedName>
    <definedName name="solver_ver" localSheetId="7" hidden="1">3</definedName>
    <definedName name="solver_ver" localSheetId="13" hidden="1">3</definedName>
    <definedName name="SRMC_high">'Assumption parameters'!$B$80</definedName>
    <definedName name="SRMC_low">'Assumption parameters'!$B$78</definedName>
    <definedName name="SRMC_medium">'Assumption parameters'!$B$79</definedName>
    <definedName name="SRMC_option">'Constrained peaky networks (v2)'!$B$8</definedName>
    <definedName name="TransGen_savings_high">'Assumption parameters'!$B$74</definedName>
    <definedName name="TransGen_savings_low">'Assumption parameters'!$B$72</definedName>
    <definedName name="TransGen_savings_medium">'Assumption parameters'!$B$73</definedName>
    <definedName name="V_val">'One off'!$G$7</definedName>
    <definedName name="yrly_opex_high">'Assumption parameters'!$B$17</definedName>
    <definedName name="yrly_opex_low">'Assumption parameters'!$B$15</definedName>
    <definedName name="yrly_opex_medium">'Assumption parameters'!$B$16</definedName>
  </definedNames>
  <calcPr calcId="145621"/>
</workbook>
</file>

<file path=xl/calcChain.xml><?xml version="1.0" encoding="utf-8"?>
<calcChain xmlns="http://schemas.openxmlformats.org/spreadsheetml/2006/main">
  <c r="G13" i="23" l="1"/>
  <c r="B4" i="12" l="1"/>
  <c r="D15" i="12" l="1"/>
  <c r="C15" i="12" s="1"/>
  <c r="L12" i="12"/>
  <c r="L16" i="12"/>
  <c r="D11" i="12"/>
  <c r="C11" i="12" s="1"/>
  <c r="L14" i="12"/>
  <c r="L15" i="12"/>
  <c r="L13" i="12"/>
  <c r="L17" i="12"/>
  <c r="L18" i="12" s="1"/>
  <c r="L19" i="12" s="1"/>
  <c r="L20" i="12" s="1"/>
  <c r="L21" i="12" s="1"/>
  <c r="L22" i="12" s="1"/>
  <c r="L23" i="12" s="1"/>
  <c r="L24" i="12" s="1"/>
  <c r="L25" i="12" s="1"/>
  <c r="L11" i="12"/>
  <c r="D16" i="12"/>
  <c r="C16" i="12" s="1"/>
  <c r="D14" i="12"/>
  <c r="C14" i="12" s="1"/>
  <c r="D12" i="12"/>
  <c r="E3" i="12" s="1"/>
  <c r="D17" i="12"/>
  <c r="D13" i="12"/>
  <c r="C13" i="12" s="1"/>
  <c r="H33" i="12"/>
  <c r="H34" i="12" s="1"/>
  <c r="F20" i="16"/>
  <c r="G22" i="16"/>
  <c r="F22" i="16" s="1"/>
  <c r="G20" i="16"/>
  <c r="F21" i="16"/>
  <c r="G21" i="16"/>
  <c r="C11" i="31"/>
  <c r="E12" i="12" l="1"/>
  <c r="D18" i="12"/>
  <c r="C17" i="12"/>
  <c r="K52" i="32"/>
  <c r="B4" i="10"/>
  <c r="B27" i="16"/>
  <c r="E8" i="12" l="1"/>
  <c r="J12" i="12"/>
  <c r="E13" i="12"/>
  <c r="C18" i="12"/>
  <c r="D19" i="12"/>
  <c r="B74" i="16"/>
  <c r="B72" i="16"/>
  <c r="B80" i="16"/>
  <c r="B78" i="16"/>
  <c r="B69" i="32"/>
  <c r="C69" i="32" s="1"/>
  <c r="K50" i="32"/>
  <c r="K49" i="32"/>
  <c r="G57" i="32"/>
  <c r="G50" i="32"/>
  <c r="G51" i="32"/>
  <c r="G52" i="32"/>
  <c r="G53" i="32"/>
  <c r="G54" i="32"/>
  <c r="G55" i="32"/>
  <c r="G56" i="32"/>
  <c r="G49" i="32"/>
  <c r="B50" i="32"/>
  <c r="B51" i="32"/>
  <c r="B52" i="32"/>
  <c r="B53" i="32"/>
  <c r="B54" i="32"/>
  <c r="B55" i="32"/>
  <c r="B56" i="32"/>
  <c r="B57" i="32"/>
  <c r="B58" i="32"/>
  <c r="B59" i="32"/>
  <c r="B60" i="32"/>
  <c r="B49" i="32"/>
  <c r="L9" i="32"/>
  <c r="L8" i="32"/>
  <c r="L7" i="32"/>
  <c r="L10" i="32" s="1"/>
  <c r="C166" i="30"/>
  <c r="G16" i="32"/>
  <c r="G17" i="32"/>
  <c r="G18" i="32"/>
  <c r="G19" i="32"/>
  <c r="G20" i="32"/>
  <c r="G21" i="32"/>
  <c r="G22" i="32"/>
  <c r="G15" i="32"/>
  <c r="G8" i="32"/>
  <c r="G9" i="32"/>
  <c r="G10" i="32"/>
  <c r="G11" i="32"/>
  <c r="G12" i="32"/>
  <c r="G13" i="32"/>
  <c r="G14" i="32"/>
  <c r="G7" i="32"/>
  <c r="G176" i="30"/>
  <c r="D187" i="30"/>
  <c r="D172" i="30"/>
  <c r="C163" i="30"/>
  <c r="B21" i="32"/>
  <c r="B22" i="32"/>
  <c r="B23" i="32"/>
  <c r="B24" i="32"/>
  <c r="B25" i="32"/>
  <c r="B26" i="32"/>
  <c r="B27" i="32"/>
  <c r="B28" i="32"/>
  <c r="B29" i="32"/>
  <c r="B30" i="32"/>
  <c r="B31" i="32"/>
  <c r="B20" i="32"/>
  <c r="B8" i="32"/>
  <c r="B9" i="32"/>
  <c r="B10" i="32"/>
  <c r="B11" i="32"/>
  <c r="B12" i="32"/>
  <c r="B13" i="32"/>
  <c r="B14" i="32"/>
  <c r="B15" i="32"/>
  <c r="B16" i="32"/>
  <c r="B17" i="32"/>
  <c r="B18" i="32"/>
  <c r="B19" i="32"/>
  <c r="B7" i="32"/>
  <c r="C64" i="30"/>
  <c r="C62" i="30"/>
  <c r="C61" i="30"/>
  <c r="C60" i="30"/>
  <c r="C59" i="30"/>
  <c r="C85" i="31"/>
  <c r="B85" i="31"/>
  <c r="C84" i="31"/>
  <c r="B84" i="31"/>
  <c r="C83" i="31"/>
  <c r="B83" i="31"/>
  <c r="C82" i="31"/>
  <c r="B82" i="31"/>
  <c r="G53" i="31"/>
  <c r="G52" i="31"/>
  <c r="G49" i="31"/>
  <c r="G50" i="31"/>
  <c r="G43" i="31"/>
  <c r="G11" i="31"/>
  <c r="B53" i="31"/>
  <c r="B52" i="31"/>
  <c r="Q44" i="31"/>
  <c r="G45" i="31"/>
  <c r="G46" i="31"/>
  <c r="Q43" i="31"/>
  <c r="G44" i="31" s="1"/>
  <c r="Q45" i="31"/>
  <c r="C49" i="31"/>
  <c r="C50" i="31"/>
  <c r="Q19" i="31"/>
  <c r="Q21" i="31"/>
  <c r="Q20" i="31"/>
  <c r="Q16" i="31"/>
  <c r="Q15" i="31"/>
  <c r="Q13" i="31"/>
  <c r="Q14" i="31"/>
  <c r="B24" i="31"/>
  <c r="B23" i="31"/>
  <c r="Q11" i="31"/>
  <c r="G13" i="31"/>
  <c r="G14" i="31"/>
  <c r="G17" i="31"/>
  <c r="G18" i="31"/>
  <c r="G21" i="31"/>
  <c r="G22" i="31"/>
  <c r="Q12" i="31"/>
  <c r="G15" i="31" s="1"/>
  <c r="C75" i="31"/>
  <c r="B91" i="31" s="1"/>
  <c r="C91" i="31" s="1"/>
  <c r="C18" i="31"/>
  <c r="C19" i="31"/>
  <c r="C20" i="31"/>
  <c r="C21" i="31"/>
  <c r="C22" i="31"/>
  <c r="C17" i="31"/>
  <c r="C16" i="31"/>
  <c r="C15" i="31"/>
  <c r="C14" i="31"/>
  <c r="C13" i="31"/>
  <c r="C12" i="31"/>
  <c r="C44" i="31"/>
  <c r="C45" i="31"/>
  <c r="C46" i="31"/>
  <c r="C47" i="31"/>
  <c r="C48" i="31"/>
  <c r="C51" i="31"/>
  <c r="C43" i="31"/>
  <c r="C48" i="30"/>
  <c r="C19" i="12" l="1"/>
  <c r="D20" i="12"/>
  <c r="C68" i="32"/>
  <c r="B40" i="32"/>
  <c r="B67" i="32"/>
  <c r="C67" i="32"/>
  <c r="B68" i="32"/>
  <c r="B70" i="32" s="1"/>
  <c r="C71" i="32"/>
  <c r="C70" i="32"/>
  <c r="B41" i="32"/>
  <c r="C41" i="32" s="1"/>
  <c r="B32" i="32"/>
  <c r="C39" i="32"/>
  <c r="B39" i="32"/>
  <c r="B42" i="32" s="1"/>
  <c r="B42" i="16" s="1"/>
  <c r="C41" i="10" s="1"/>
  <c r="G23" i="32"/>
  <c r="C40" i="32"/>
  <c r="R43" i="31"/>
  <c r="C53" i="31"/>
  <c r="C52" i="31"/>
  <c r="R45" i="31" s="1"/>
  <c r="R44" i="31"/>
  <c r="G47" i="31"/>
  <c r="G48" i="31"/>
  <c r="G20" i="31"/>
  <c r="G16" i="31"/>
  <c r="G12" i="31"/>
  <c r="G19" i="31"/>
  <c r="C23" i="31"/>
  <c r="R11" i="31"/>
  <c r="C24" i="31"/>
  <c r="R13" i="31"/>
  <c r="R12" i="31"/>
  <c r="C20" i="12" l="1"/>
  <c r="D21" i="12"/>
  <c r="C42" i="32"/>
  <c r="B44" i="16" s="1"/>
  <c r="E11" i="10" s="1"/>
  <c r="B71" i="32"/>
  <c r="C43" i="32"/>
  <c r="B43" i="32"/>
  <c r="H45" i="31"/>
  <c r="H47" i="31"/>
  <c r="H44" i="31"/>
  <c r="H49" i="31"/>
  <c r="H50" i="31"/>
  <c r="G54" i="31"/>
  <c r="B54" i="31" s="1"/>
  <c r="G55" i="31"/>
  <c r="H48" i="31"/>
  <c r="H46" i="31"/>
  <c r="H43" i="31"/>
  <c r="H12" i="31"/>
  <c r="G23" i="31"/>
  <c r="G24" i="31"/>
  <c r="G26" i="31" s="1"/>
  <c r="H15" i="31"/>
  <c r="H14" i="31"/>
  <c r="H20" i="31"/>
  <c r="H13" i="31"/>
  <c r="H17" i="31"/>
  <c r="H18" i="31"/>
  <c r="H11" i="31"/>
  <c r="H22" i="31"/>
  <c r="H16" i="31"/>
  <c r="H21" i="31"/>
  <c r="H19" i="31"/>
  <c r="B23" i="26"/>
  <c r="C12" i="26" s="1"/>
  <c r="D12" i="26" s="1"/>
  <c r="B4" i="26"/>
  <c r="D22" i="12" l="1"/>
  <c r="C21" i="12"/>
  <c r="H53" i="31"/>
  <c r="H52" i="31"/>
  <c r="Q50" i="31"/>
  <c r="B55" i="31"/>
  <c r="Q49" i="31"/>
  <c r="B26" i="31"/>
  <c r="Q18" i="31"/>
  <c r="G25" i="31"/>
  <c r="H23" i="31"/>
  <c r="H24" i="31"/>
  <c r="D23" i="12" l="1"/>
  <c r="C22" i="12"/>
  <c r="Q47" i="31"/>
  <c r="Q52" i="31" s="1"/>
  <c r="H54" i="31"/>
  <c r="H55" i="31"/>
  <c r="Q48" i="31"/>
  <c r="Q53" i="31" s="1"/>
  <c r="Q46" i="31"/>
  <c r="Q51" i="31" s="1"/>
  <c r="B25" i="31"/>
  <c r="Q17" i="31"/>
  <c r="H26" i="31"/>
  <c r="H25" i="31"/>
  <c r="X12" i="10"/>
  <c r="X13" i="10"/>
  <c r="X14" i="10"/>
  <c r="X15" i="10"/>
  <c r="X16" i="10"/>
  <c r="X17" i="10"/>
  <c r="X18" i="10"/>
  <c r="X19" i="10"/>
  <c r="X20" i="10"/>
  <c r="X21" i="10"/>
  <c r="X22" i="10"/>
  <c r="X23" i="10"/>
  <c r="X24" i="10"/>
  <c r="X25" i="10"/>
  <c r="X26" i="10"/>
  <c r="X11" i="10"/>
  <c r="N11" i="10"/>
  <c r="R11" i="10"/>
  <c r="N3" i="10"/>
  <c r="O14" i="10" s="1"/>
  <c r="D24" i="12" l="1"/>
  <c r="C23" i="12"/>
  <c r="P16" i="10"/>
  <c r="O11" i="10"/>
  <c r="P11" i="10" s="1"/>
  <c r="O15" i="10"/>
  <c r="O16" i="10"/>
  <c r="P18" i="10" s="1"/>
  <c r="O12" i="10"/>
  <c r="O13" i="10"/>
  <c r="C55" i="31"/>
  <c r="R50" i="31"/>
  <c r="C54" i="31"/>
  <c r="R49" i="31"/>
  <c r="C26" i="31"/>
  <c r="R18" i="31"/>
  <c r="C25" i="31"/>
  <c r="R17" i="31"/>
  <c r="D25" i="12" l="1"/>
  <c r="C25" i="12" s="1"/>
  <c r="C24" i="12"/>
  <c r="P12" i="10"/>
  <c r="P17" i="10"/>
  <c r="P13" i="10"/>
  <c r="P15" i="10"/>
  <c r="P14" i="10"/>
  <c r="R46" i="31"/>
  <c r="R47" i="31"/>
  <c r="R52" i="31" s="1"/>
  <c r="C90" i="31" s="1"/>
  <c r="R48" i="31"/>
  <c r="R53" i="31" s="1"/>
  <c r="B90" i="31" s="1"/>
  <c r="R14" i="31"/>
  <c r="R15" i="31"/>
  <c r="R20" i="31" s="1"/>
  <c r="C89" i="31" s="1"/>
  <c r="R16" i="31"/>
  <c r="R21" i="31" s="1"/>
  <c r="B89" i="31" s="1"/>
  <c r="N12" i="10"/>
  <c r="N13" i="10"/>
  <c r="N14" i="10"/>
  <c r="N15" i="10"/>
  <c r="N16" i="10"/>
  <c r="N17" i="10"/>
  <c r="N18" i="10"/>
  <c r="N19" i="10"/>
  <c r="B12" i="10"/>
  <c r="B13" i="10"/>
  <c r="F13" i="10" s="1"/>
  <c r="B14" i="10"/>
  <c r="F14" i="10" s="1"/>
  <c r="B15" i="10"/>
  <c r="F15" i="10" s="1"/>
  <c r="B16" i="10"/>
  <c r="F16" i="10" s="1"/>
  <c r="B17" i="10"/>
  <c r="F17" i="10" s="1"/>
  <c r="B18" i="10"/>
  <c r="B11" i="10"/>
  <c r="F11" i="10" s="1"/>
  <c r="Y25" i="8"/>
  <c r="Y24" i="8"/>
  <c r="Y23" i="8"/>
  <c r="Y22" i="8"/>
  <c r="Y21" i="8"/>
  <c r="Y20" i="8"/>
  <c r="Y19" i="8"/>
  <c r="Y18" i="8"/>
  <c r="Y17" i="8"/>
  <c r="Y16" i="8"/>
  <c r="Y15" i="8"/>
  <c r="Y14" i="8"/>
  <c r="Y13" i="8"/>
  <c r="Y12" i="8"/>
  <c r="Y11" i="8"/>
  <c r="Y10" i="8"/>
  <c r="Y9" i="8"/>
  <c r="X25" i="8"/>
  <c r="X24" i="8"/>
  <c r="X23" i="8"/>
  <c r="X22" i="8"/>
  <c r="X21" i="8"/>
  <c r="X20" i="8"/>
  <c r="X19" i="8"/>
  <c r="X18" i="8"/>
  <c r="X17" i="8"/>
  <c r="X16" i="8"/>
  <c r="X15" i="8"/>
  <c r="X14" i="8"/>
  <c r="X13" i="8"/>
  <c r="X12" i="8"/>
  <c r="X11" i="8"/>
  <c r="X10" i="8"/>
  <c r="X9" i="8"/>
  <c r="X8" i="8"/>
  <c r="X7" i="8"/>
  <c r="V7" i="8"/>
  <c r="V18" i="8"/>
  <c r="V17" i="8"/>
  <c r="V16" i="8"/>
  <c r="V15" i="8"/>
  <c r="V14" i="8"/>
  <c r="V11" i="8"/>
  <c r="V10" i="8"/>
  <c r="V9" i="8"/>
  <c r="V8" i="8"/>
  <c r="L18" i="8"/>
  <c r="L17" i="8"/>
  <c r="L16" i="8"/>
  <c r="L15" i="8"/>
  <c r="L14" i="8"/>
  <c r="L11" i="8"/>
  <c r="L10" i="8"/>
  <c r="L9" i="8"/>
  <c r="L8" i="8"/>
  <c r="L7" i="8"/>
  <c r="O25" i="8"/>
  <c r="O24" i="8"/>
  <c r="O23" i="8"/>
  <c r="O22" i="8"/>
  <c r="O21" i="8"/>
  <c r="O20" i="8"/>
  <c r="O19" i="8"/>
  <c r="O18" i="8"/>
  <c r="O17" i="8"/>
  <c r="O16" i="8"/>
  <c r="O15" i="8"/>
  <c r="O14" i="8"/>
  <c r="O13" i="8"/>
  <c r="O12" i="8"/>
  <c r="O11" i="8"/>
  <c r="O10" i="8"/>
  <c r="O9" i="8"/>
  <c r="N25" i="8"/>
  <c r="N24" i="8"/>
  <c r="N23" i="8"/>
  <c r="N22" i="8"/>
  <c r="N21" i="8"/>
  <c r="N20" i="8"/>
  <c r="N19" i="8"/>
  <c r="N18" i="8"/>
  <c r="N17" i="8"/>
  <c r="N16" i="8"/>
  <c r="N15" i="8"/>
  <c r="N14" i="8"/>
  <c r="N13" i="8"/>
  <c r="N12" i="8"/>
  <c r="N11" i="8"/>
  <c r="N10" i="8"/>
  <c r="N9" i="8"/>
  <c r="N8" i="8"/>
  <c r="N7" i="8"/>
  <c r="N2" i="8"/>
  <c r="D7" i="8"/>
  <c r="D7" i="9" s="1"/>
  <c r="E14" i="8"/>
  <c r="E15" i="8"/>
  <c r="E16" i="8"/>
  <c r="E17" i="8"/>
  <c r="E18" i="8"/>
  <c r="E19" i="8"/>
  <c r="E20" i="8"/>
  <c r="E21" i="8"/>
  <c r="E13" i="8"/>
  <c r="E12" i="8"/>
  <c r="E11" i="8"/>
  <c r="E10" i="8"/>
  <c r="E9" i="8"/>
  <c r="D12" i="8"/>
  <c r="D12" i="9" s="1"/>
  <c r="D13" i="8"/>
  <c r="D13" i="9" s="1"/>
  <c r="D14" i="8"/>
  <c r="D14" i="9" s="1"/>
  <c r="D15" i="8"/>
  <c r="D15" i="9" s="1"/>
  <c r="D16" i="8"/>
  <c r="D16" i="9" s="1"/>
  <c r="D17" i="8"/>
  <c r="D17" i="9" s="1"/>
  <c r="D18" i="8"/>
  <c r="D18" i="9" s="1"/>
  <c r="D19" i="8"/>
  <c r="D19" i="9" s="1"/>
  <c r="D20" i="8"/>
  <c r="D20" i="9" s="1"/>
  <c r="D21" i="8"/>
  <c r="D21" i="9" s="1"/>
  <c r="D11" i="8"/>
  <c r="D11" i="9" s="1"/>
  <c r="D10" i="8"/>
  <c r="D10" i="9" s="1"/>
  <c r="D9" i="8"/>
  <c r="D9" i="9" s="1"/>
  <c r="D8" i="8"/>
  <c r="D8" i="9" s="1"/>
  <c r="C92" i="31" l="1"/>
  <c r="B92" i="31"/>
  <c r="F18" i="10"/>
  <c r="F12" i="10"/>
  <c r="B19" i="10"/>
  <c r="F19" i="10" s="1"/>
  <c r="B20" i="10" l="1"/>
  <c r="F20" i="10" s="1"/>
  <c r="N20" i="10"/>
  <c r="B21" i="10" l="1"/>
  <c r="F21" i="10" s="1"/>
  <c r="N21" i="10"/>
  <c r="B22" i="10" l="1"/>
  <c r="F22" i="10" s="1"/>
  <c r="N22" i="10"/>
  <c r="B23" i="10" l="1"/>
  <c r="F23" i="10" s="1"/>
  <c r="N23" i="10"/>
  <c r="B24" i="10" l="1"/>
  <c r="F24" i="10" s="1"/>
  <c r="N24" i="10"/>
  <c r="B25" i="10" l="1"/>
  <c r="F25" i="10" s="1"/>
  <c r="N25" i="10"/>
  <c r="B26" i="10" l="1"/>
  <c r="F26" i="10" s="1"/>
  <c r="N26" i="10"/>
  <c r="C6" i="23"/>
  <c r="B6" i="23"/>
  <c r="B15" i="8"/>
  <c r="B16" i="8"/>
  <c r="B17" i="8"/>
  <c r="B18" i="8"/>
  <c r="B14" i="8"/>
  <c r="B8" i="8"/>
  <c r="B9" i="8"/>
  <c r="B10" i="8"/>
  <c r="B11" i="8"/>
  <c r="B7" i="8"/>
  <c r="F15" i="23" l="1"/>
  <c r="G15" i="23" s="1"/>
  <c r="F19" i="23"/>
  <c r="G19" i="23" s="1"/>
  <c r="F23" i="23"/>
  <c r="G23" i="23" s="1"/>
  <c r="B14" i="23"/>
  <c r="B18" i="23"/>
  <c r="B22" i="23"/>
  <c r="B11" i="23"/>
  <c r="F13" i="23"/>
  <c r="F25" i="23"/>
  <c r="G25" i="23" s="1"/>
  <c r="B16" i="23"/>
  <c r="B24" i="23"/>
  <c r="F14" i="23"/>
  <c r="G14" i="23" s="1"/>
  <c r="F22" i="23"/>
  <c r="G22" i="23" s="1"/>
  <c r="B13" i="23"/>
  <c r="B21" i="23"/>
  <c r="F12" i="23"/>
  <c r="G12" i="23" s="1"/>
  <c r="F16" i="23"/>
  <c r="G16" i="23" s="1"/>
  <c r="F20" i="23"/>
  <c r="G20" i="23" s="1"/>
  <c r="F24" i="23"/>
  <c r="G24" i="23" s="1"/>
  <c r="B15" i="23"/>
  <c r="B19" i="23"/>
  <c r="B23" i="23"/>
  <c r="F17" i="23"/>
  <c r="G17" i="23" s="1"/>
  <c r="F21" i="23"/>
  <c r="G21" i="23" s="1"/>
  <c r="B12" i="23"/>
  <c r="B20" i="23"/>
  <c r="F18" i="23"/>
  <c r="G18" i="23" s="1"/>
  <c r="F11" i="23"/>
  <c r="G11" i="23" s="1"/>
  <c r="B17" i="23"/>
  <c r="B25" i="23"/>
  <c r="C25" i="8" s="1"/>
  <c r="C25" i="9" s="1"/>
  <c r="C13" i="23"/>
  <c r="C17" i="23"/>
  <c r="C21" i="23"/>
  <c r="C25" i="23"/>
  <c r="M25" i="8" s="1"/>
  <c r="M25" i="9" s="1"/>
  <c r="C15" i="23"/>
  <c r="C23" i="23"/>
  <c r="C20" i="23"/>
  <c r="C14" i="23"/>
  <c r="C18" i="23"/>
  <c r="C22" i="23"/>
  <c r="C11" i="23"/>
  <c r="M7" i="8" s="1"/>
  <c r="M7" i="9" s="1"/>
  <c r="C19" i="23"/>
  <c r="C12" i="23"/>
  <c r="C16" i="23"/>
  <c r="C24" i="23"/>
  <c r="E25" i="8"/>
  <c r="E24" i="8"/>
  <c r="E23" i="8"/>
  <c r="E22" i="8"/>
  <c r="D25" i="8"/>
  <c r="D25" i="9" s="1"/>
  <c r="D24" i="8"/>
  <c r="D24" i="9" s="1"/>
  <c r="D23" i="8"/>
  <c r="D23" i="9" s="1"/>
  <c r="D22" i="8"/>
  <c r="D22" i="9" s="1"/>
  <c r="C7" i="8" l="1"/>
  <c r="C7" i="9" s="1"/>
  <c r="M12" i="8"/>
  <c r="M12" i="9" s="1"/>
  <c r="M18" i="8"/>
  <c r="M18" i="9" s="1"/>
  <c r="M8" i="8"/>
  <c r="M8" i="9" s="1"/>
  <c r="M19" i="8"/>
  <c r="M19" i="9" s="1"/>
  <c r="M22" i="8"/>
  <c r="M22" i="9" s="1"/>
  <c r="C10" i="8"/>
  <c r="C10" i="9" s="1"/>
  <c r="M16" i="8"/>
  <c r="M16" i="9" s="1"/>
  <c r="M11" i="8"/>
  <c r="M11" i="9" s="1"/>
  <c r="C8" i="8"/>
  <c r="C8" i="9" s="1"/>
  <c r="M15" i="8"/>
  <c r="M15" i="9" s="1"/>
  <c r="M21" i="8"/>
  <c r="M21" i="9" s="1"/>
  <c r="M14" i="8"/>
  <c r="M14" i="9" s="1"/>
  <c r="M13" i="8"/>
  <c r="M13" i="9" s="1"/>
  <c r="M9" i="8"/>
  <c r="M9" i="9" s="1"/>
  <c r="C18" i="8"/>
  <c r="C18" i="9" s="1"/>
  <c r="M23" i="8"/>
  <c r="M23" i="9" s="1"/>
  <c r="M17" i="8"/>
  <c r="M17" i="9" s="1"/>
  <c r="C9" i="8"/>
  <c r="C9" i="9" s="1"/>
  <c r="M24" i="8"/>
  <c r="M24" i="9" s="1"/>
  <c r="C11" i="8"/>
  <c r="C11" i="9" s="1"/>
  <c r="M10" i="8"/>
  <c r="M10" i="9" s="1"/>
  <c r="M20" i="8"/>
  <c r="M20" i="9" s="1"/>
  <c r="C12" i="8"/>
  <c r="C12" i="9" s="1"/>
  <c r="C19" i="8"/>
  <c r="C19" i="9" s="1"/>
  <c r="C13" i="8"/>
  <c r="C13" i="9" s="1"/>
  <c r="C20" i="8"/>
  <c r="C20" i="9" s="1"/>
  <c r="C24" i="8"/>
  <c r="C24" i="9" s="1"/>
  <c r="C23" i="8"/>
  <c r="C23" i="9" s="1"/>
  <c r="C16" i="8"/>
  <c r="C16" i="9" s="1"/>
  <c r="C17" i="8"/>
  <c r="C17" i="9" s="1"/>
  <c r="C15" i="8"/>
  <c r="C15" i="9" s="1"/>
  <c r="C22" i="8"/>
  <c r="C22" i="9" s="1"/>
  <c r="C21" i="8"/>
  <c r="C21" i="9" s="1"/>
  <c r="C14" i="8"/>
  <c r="C14" i="9" s="1"/>
  <c r="A13" i="23"/>
  <c r="A14" i="23" s="1"/>
  <c r="A12" i="23"/>
  <c r="D36" i="9"/>
  <c r="E36" i="9"/>
  <c r="C36" i="9"/>
  <c r="A15" i="23" l="1"/>
  <c r="A16" i="23" s="1"/>
  <c r="A17" i="23" s="1"/>
  <c r="A18" i="23" s="1"/>
  <c r="A19" i="23" s="1"/>
  <c r="A20" i="23" s="1"/>
  <c r="A21" i="23" s="1"/>
  <c r="A22" i="23" s="1"/>
  <c r="A23" i="23" s="1"/>
  <c r="A24" i="23" s="1"/>
  <c r="A25" i="23" s="1"/>
  <c r="B70" i="12" l="1"/>
  <c r="B69" i="12"/>
  <c r="B68" i="12"/>
  <c r="N4" i="10" l="1"/>
  <c r="Q11" i="10" s="1"/>
  <c r="X3" i="10"/>
  <c r="B3" i="10"/>
  <c r="Y16" i="10" l="1"/>
  <c r="Z18" i="10" s="1"/>
  <c r="Y15" i="10"/>
  <c r="C15" i="10"/>
  <c r="C16" i="10"/>
  <c r="C13" i="10"/>
  <c r="C14" i="10"/>
  <c r="C12" i="10"/>
  <c r="C11" i="10"/>
  <c r="D11" i="10" s="1"/>
  <c r="Y14" i="10"/>
  <c r="Y12" i="10"/>
  <c r="Y13" i="10"/>
  <c r="Y11" i="10"/>
  <c r="Z11" i="10" s="1"/>
  <c r="Q12" i="10"/>
  <c r="Q16" i="10"/>
  <c r="Q15" i="10"/>
  <c r="Q13" i="10"/>
  <c r="Q17" i="10"/>
  <c r="Q14" i="10"/>
  <c r="Q18" i="10"/>
  <c r="Q19" i="10"/>
  <c r="Q20" i="10"/>
  <c r="Q21" i="10"/>
  <c r="Q22" i="10"/>
  <c r="Q23" i="10"/>
  <c r="Q24" i="10"/>
  <c r="Q25" i="10"/>
  <c r="Q26" i="10"/>
  <c r="E14" i="10"/>
  <c r="E13" i="10"/>
  <c r="E15" i="10"/>
  <c r="E12" i="10"/>
  <c r="E17" i="10"/>
  <c r="E16" i="10"/>
  <c r="E18" i="10"/>
  <c r="E19" i="10"/>
  <c r="E20" i="10"/>
  <c r="E21" i="10"/>
  <c r="E22" i="10"/>
  <c r="E23" i="10"/>
  <c r="E24" i="10"/>
  <c r="E25" i="10"/>
  <c r="E26" i="10"/>
  <c r="B4" i="23"/>
  <c r="D14" i="10" l="1"/>
  <c r="Z17" i="10"/>
  <c r="D18" i="10"/>
  <c r="D16" i="10"/>
  <c r="D12" i="10"/>
  <c r="D17" i="10"/>
  <c r="D15" i="10"/>
  <c r="D13" i="10"/>
  <c r="Z12" i="10"/>
  <c r="Z16" i="10"/>
  <c r="Z14" i="10"/>
  <c r="Z15" i="10"/>
  <c r="Z13" i="10"/>
  <c r="B5" i="7"/>
  <c r="C28" i="7" s="1"/>
  <c r="R26" i="10"/>
  <c r="R25" i="10"/>
  <c r="R24" i="10"/>
  <c r="R23" i="10"/>
  <c r="R22" i="10"/>
  <c r="R21" i="10"/>
  <c r="R20" i="10"/>
  <c r="R19" i="10"/>
  <c r="R18" i="10"/>
  <c r="R17" i="10"/>
  <c r="R16" i="10"/>
  <c r="R15" i="10"/>
  <c r="R14" i="10"/>
  <c r="R13" i="10"/>
  <c r="R12" i="10"/>
  <c r="N8" i="10"/>
  <c r="N5" i="10"/>
  <c r="E41" i="9"/>
  <c r="E39" i="9"/>
  <c r="E38" i="9"/>
  <c r="B22" i="9"/>
  <c r="B21" i="9"/>
  <c r="B20" i="9"/>
  <c r="B19" i="9"/>
  <c r="B18" i="9"/>
  <c r="B17" i="9"/>
  <c r="B16" i="9"/>
  <c r="B15" i="9"/>
  <c r="B14" i="9"/>
  <c r="B13" i="9"/>
  <c r="B12" i="9"/>
  <c r="B11" i="9"/>
  <c r="B10" i="9"/>
  <c r="B9" i="9"/>
  <c r="B8" i="9"/>
  <c r="B7" i="9"/>
  <c r="E39" i="8"/>
  <c r="E38" i="8"/>
  <c r="L5" i="8"/>
  <c r="D25" i="7"/>
  <c r="O24" i="7"/>
  <c r="D24" i="7"/>
  <c r="O23" i="7"/>
  <c r="D23" i="7"/>
  <c r="O22" i="7"/>
  <c r="D22" i="7"/>
  <c r="O21" i="7"/>
  <c r="D21" i="7"/>
  <c r="O20" i="7"/>
  <c r="D20" i="7"/>
  <c r="O19" i="7"/>
  <c r="D19" i="7"/>
  <c r="O18" i="7"/>
  <c r="D18" i="7"/>
  <c r="B18" i="7"/>
  <c r="O17" i="7"/>
  <c r="D17" i="7"/>
  <c r="O16" i="7"/>
  <c r="D16" i="7"/>
  <c r="O15" i="7"/>
  <c r="D15" i="7"/>
  <c r="O14" i="7"/>
  <c r="D14" i="7"/>
  <c r="O13" i="7"/>
  <c r="D13" i="7"/>
  <c r="D12" i="7"/>
  <c r="D11" i="7"/>
  <c r="B11" i="7"/>
  <c r="S25" i="12"/>
  <c r="S24" i="12"/>
  <c r="S23" i="12"/>
  <c r="S22" i="12"/>
  <c r="S21" i="12"/>
  <c r="S20" i="12"/>
  <c r="S19" i="12"/>
  <c r="S18" i="12"/>
  <c r="S17" i="12"/>
  <c r="S16" i="12"/>
  <c r="S15" i="12"/>
  <c r="S14" i="12"/>
  <c r="S13" i="12"/>
  <c r="N6" i="12"/>
  <c r="N5" i="12"/>
  <c r="B50" i="16"/>
  <c r="C42" i="12"/>
  <c r="C41" i="12"/>
  <c r="E40" i="12"/>
  <c r="E38" i="12"/>
  <c r="E37" i="12"/>
  <c r="C43" i="7"/>
  <c r="C42" i="7"/>
  <c r="E41" i="7"/>
  <c r="E39" i="7"/>
  <c r="E38" i="7"/>
  <c r="O25" i="7"/>
  <c r="C43" i="8"/>
  <c r="C42" i="8"/>
  <c r="E41" i="8"/>
  <c r="C43" i="9"/>
  <c r="C42" i="9"/>
  <c r="C42" i="10"/>
  <c r="E38" i="10"/>
  <c r="C36" i="10"/>
  <c r="C38" i="10"/>
  <c r="E36" i="10"/>
  <c r="M8" i="10"/>
  <c r="C41" i="9"/>
  <c r="C39" i="9"/>
  <c r="C38" i="9"/>
  <c r="L22" i="9"/>
  <c r="L21" i="9"/>
  <c r="L20" i="9"/>
  <c r="L19" i="9"/>
  <c r="L18" i="9"/>
  <c r="L17" i="9"/>
  <c r="L16" i="9"/>
  <c r="L15" i="9"/>
  <c r="L14" i="9"/>
  <c r="L13" i="9"/>
  <c r="L12" i="9"/>
  <c r="L11" i="9"/>
  <c r="L10" i="9"/>
  <c r="L9" i="9"/>
  <c r="L8" i="9"/>
  <c r="L7" i="9"/>
  <c r="B4" i="8"/>
  <c r="E42" i="7"/>
  <c r="C41" i="7"/>
  <c r="C39" i="7"/>
  <c r="C38" i="7"/>
  <c r="N25" i="7"/>
  <c r="E25" i="7"/>
  <c r="N24" i="7"/>
  <c r="E24" i="7"/>
  <c r="N23" i="7"/>
  <c r="E23" i="7"/>
  <c r="N22" i="7"/>
  <c r="E22" i="7"/>
  <c r="N21" i="7"/>
  <c r="E21" i="7"/>
  <c r="N20" i="7"/>
  <c r="E20" i="7"/>
  <c r="N19" i="7"/>
  <c r="E19" i="7"/>
  <c r="N18" i="7"/>
  <c r="L18" i="7"/>
  <c r="E18" i="7"/>
  <c r="N17" i="7"/>
  <c r="E17" i="7"/>
  <c r="N16" i="7"/>
  <c r="E16" i="7"/>
  <c r="N15" i="7"/>
  <c r="E15" i="7"/>
  <c r="N14" i="7"/>
  <c r="E14" i="7"/>
  <c r="N13" i="7"/>
  <c r="E13" i="7"/>
  <c r="N12" i="7"/>
  <c r="N11" i="7"/>
  <c r="L11" i="7"/>
  <c r="E42" i="12"/>
  <c r="E41" i="12"/>
  <c r="C40" i="12"/>
  <c r="C38" i="12"/>
  <c r="C37" i="12"/>
  <c r="R25" i="12"/>
  <c r="R24" i="12"/>
  <c r="R23" i="12"/>
  <c r="R22" i="12"/>
  <c r="R21" i="12"/>
  <c r="R20" i="12"/>
  <c r="R19" i="12"/>
  <c r="R18" i="12"/>
  <c r="N18" i="12"/>
  <c r="R17" i="12"/>
  <c r="R16" i="12"/>
  <c r="R15" i="12"/>
  <c r="R14" i="12"/>
  <c r="R13" i="12"/>
  <c r="R12" i="12"/>
  <c r="R11" i="12"/>
  <c r="N11" i="12"/>
  <c r="B6" i="12"/>
  <c r="B5" i="12"/>
  <c r="E43" i="7"/>
  <c r="E43" i="8"/>
  <c r="E42" i="8"/>
  <c r="C41" i="8"/>
  <c r="C39" i="8"/>
  <c r="C38" i="8"/>
  <c r="E43" i="9"/>
  <c r="E42" i="9"/>
  <c r="E42" i="10"/>
  <c r="E41" i="10"/>
  <c r="B79" i="16" l="1"/>
  <c r="C210" i="30" l="1"/>
  <c r="B210" i="30"/>
  <c r="C151" i="30"/>
  <c r="C177" i="30" s="1"/>
  <c r="C139" i="30"/>
  <c r="C202" i="30" s="1"/>
  <c r="C138" i="30"/>
  <c r="B202" i="30" s="1"/>
  <c r="C107" i="30"/>
  <c r="C124" i="30" s="1"/>
  <c r="C106" i="30"/>
  <c r="C123" i="30" s="1"/>
  <c r="C103" i="30"/>
  <c r="C84" i="30"/>
  <c r="C80" i="30"/>
  <c r="C66" i="30"/>
  <c r="C87" i="30" s="1"/>
  <c r="C65" i="30"/>
  <c r="C152" i="30" s="1"/>
  <c r="C178" i="30" s="1"/>
  <c r="C63" i="30"/>
  <c r="C150" i="30" s="1"/>
  <c r="C176" i="30" s="1"/>
  <c r="C81" i="30"/>
  <c r="C55" i="30"/>
  <c r="C110" i="30" s="1"/>
  <c r="C127" i="30" s="1"/>
  <c r="C54" i="30"/>
  <c r="C71" i="30" s="1"/>
  <c r="D49" i="30"/>
  <c r="C109" i="30" s="1"/>
  <c r="C126" i="30" s="1"/>
  <c r="C49" i="30"/>
  <c r="C108" i="30" s="1"/>
  <c r="C125" i="30" s="1"/>
  <c r="D48" i="30"/>
  <c r="C70" i="30" s="1"/>
  <c r="C69" i="30"/>
  <c r="F47" i="30"/>
  <c r="E47" i="30"/>
  <c r="F46" i="30"/>
  <c r="E46" i="30"/>
  <c r="S21" i="30"/>
  <c r="C68" i="30" s="1"/>
  <c r="C89" i="30" s="1"/>
  <c r="B21" i="30"/>
  <c r="S20" i="30"/>
  <c r="C67" i="30" s="1"/>
  <c r="S19" i="30"/>
  <c r="B19" i="30"/>
  <c r="S18" i="30"/>
  <c r="B18" i="30"/>
  <c r="B20" i="30" s="1"/>
  <c r="S17" i="30"/>
  <c r="C85" i="30" s="1"/>
  <c r="B17" i="30"/>
  <c r="C146" i="30" l="1"/>
  <c r="C73" i="30"/>
  <c r="C75" i="30"/>
  <c r="B200" i="30" s="1"/>
  <c r="C76" i="30"/>
  <c r="C149" i="30"/>
  <c r="C175" i="30" s="1"/>
  <c r="D125" i="30"/>
  <c r="D124" i="30"/>
  <c r="D123" i="30"/>
  <c r="C158" i="30"/>
  <c r="C184" i="30" s="1"/>
  <c r="C92" i="30"/>
  <c r="C105" i="30"/>
  <c r="C122" i="30" s="1"/>
  <c r="D122" i="30" s="1"/>
  <c r="C74" i="30"/>
  <c r="C82" i="30"/>
  <c r="C86" i="30"/>
  <c r="G81" i="30"/>
  <c r="D126" i="30"/>
  <c r="D127" i="30"/>
  <c r="C155" i="30"/>
  <c r="C181" i="30" s="1"/>
  <c r="C154" i="30"/>
  <c r="C180" i="30" s="1"/>
  <c r="C88" i="30"/>
  <c r="C157" i="30"/>
  <c r="C183" i="30" s="1"/>
  <c r="C91" i="30"/>
  <c r="C90" i="30"/>
  <c r="C156" i="30"/>
  <c r="C182" i="30" s="1"/>
  <c r="C83" i="30"/>
  <c r="D89" i="30" s="1"/>
  <c r="C104" i="30"/>
  <c r="C115" i="30" s="1"/>
  <c r="C120" i="30"/>
  <c r="C153" i="30"/>
  <c r="C179" i="30" s="1"/>
  <c r="C72" i="30"/>
  <c r="C200" i="30"/>
  <c r="C114" i="30" l="1"/>
  <c r="B201" i="30" s="1"/>
  <c r="C172" i="30"/>
  <c r="D90" i="30"/>
  <c r="D84" i="30"/>
  <c r="D82" i="30"/>
  <c r="D81" i="30"/>
  <c r="D80" i="30"/>
  <c r="D88" i="30"/>
  <c r="D86" i="30"/>
  <c r="D92" i="30"/>
  <c r="D120" i="30"/>
  <c r="C111" i="30"/>
  <c r="C112" i="30"/>
  <c r="C201" i="30"/>
  <c r="C93" i="30"/>
  <c r="G82" i="30" s="1"/>
  <c r="C121" i="30"/>
  <c r="D121" i="30" s="1"/>
  <c r="C147" i="30"/>
  <c r="D83" i="30"/>
  <c r="G80" i="30"/>
  <c r="D87" i="30"/>
  <c r="D91" i="30"/>
  <c r="C97" i="30"/>
  <c r="D85" i="30"/>
  <c r="C113" i="30"/>
  <c r="C148" i="30"/>
  <c r="C174" i="30" s="1"/>
  <c r="C94" i="30"/>
  <c r="C162" i="30" l="1"/>
  <c r="B204" i="30"/>
  <c r="C204" i="30"/>
  <c r="D97" i="30"/>
  <c r="D93" i="30"/>
  <c r="C132" i="30"/>
  <c r="D128" i="30"/>
  <c r="D132" i="30"/>
  <c r="D129" i="30"/>
  <c r="D94" i="30"/>
  <c r="C128" i="30"/>
  <c r="G122" i="30" s="1"/>
  <c r="G121" i="30"/>
  <c r="C173" i="30"/>
  <c r="C159" i="30"/>
  <c r="C161" i="30"/>
  <c r="C167" i="30"/>
  <c r="C203" i="30" s="1"/>
  <c r="B203" i="30"/>
  <c r="C160" i="30"/>
  <c r="G120" i="30"/>
  <c r="C129" i="30"/>
  <c r="G173" i="30" l="1"/>
  <c r="G172" i="30"/>
  <c r="D95" i="30"/>
  <c r="G86" i="30" s="1"/>
  <c r="D96" i="30"/>
  <c r="D130" i="30"/>
  <c r="D131" i="30"/>
  <c r="C185" i="30"/>
  <c r="G174" i="30" s="1"/>
  <c r="C186" i="30"/>
  <c r="C189" i="30"/>
  <c r="C95" i="30" l="1"/>
  <c r="D173" i="30"/>
  <c r="C130" i="30"/>
  <c r="G126" i="30"/>
  <c r="C131" i="30"/>
  <c r="G127" i="30"/>
  <c r="D177" i="30"/>
  <c r="D176" i="30"/>
  <c r="D175" i="30"/>
  <c r="D178" i="30"/>
  <c r="D183" i="30"/>
  <c r="D180" i="30"/>
  <c r="D184" i="30"/>
  <c r="D179" i="30"/>
  <c r="D182" i="30"/>
  <c r="D181" i="30"/>
  <c r="D174" i="30"/>
  <c r="C96" i="30"/>
  <c r="G87" i="30"/>
  <c r="G85" i="30" s="1"/>
  <c r="H85" i="30" s="1"/>
  <c r="C98" i="30" s="1"/>
  <c r="B208" i="30" s="1"/>
  <c r="D186" i="30" l="1"/>
  <c r="D185" i="30"/>
  <c r="G83" i="30"/>
  <c r="G88" i="30" s="1"/>
  <c r="G124" i="30"/>
  <c r="H124" i="30" s="1"/>
  <c r="C134" i="30" s="1"/>
  <c r="C209" i="30" s="1"/>
  <c r="G125" i="30"/>
  <c r="G84" i="30"/>
  <c r="H84" i="30" s="1"/>
  <c r="C99" i="30" s="1"/>
  <c r="C208" i="30" s="1"/>
  <c r="G123" i="30"/>
  <c r="G128" i="30" s="1"/>
  <c r="H125" i="30"/>
  <c r="C133" i="30" s="1"/>
  <c r="B209" i="30" s="1"/>
  <c r="B212" i="30" s="1"/>
  <c r="D189" i="30"/>
  <c r="D188" i="30" l="1"/>
  <c r="C188" i="30" s="1"/>
  <c r="C212" i="30"/>
  <c r="E36" i="12"/>
  <c r="K6" i="26"/>
  <c r="J6" i="26"/>
  <c r="I6" i="26"/>
  <c r="H6" i="26"/>
  <c r="G6" i="26"/>
  <c r="F6" i="26"/>
  <c r="E6" i="26"/>
  <c r="D6" i="26"/>
  <c r="C6" i="26"/>
  <c r="B6" i="26"/>
  <c r="K4" i="26"/>
  <c r="J4" i="26"/>
  <c r="I4" i="26"/>
  <c r="H4" i="26"/>
  <c r="G4" i="26"/>
  <c r="F4" i="26"/>
  <c r="E4" i="26"/>
  <c r="D4" i="26"/>
  <c r="C4" i="26"/>
  <c r="C187" i="30" l="1"/>
  <c r="G178" i="30"/>
  <c r="G179" i="30"/>
  <c r="G175" i="30" l="1"/>
  <c r="G180" i="30" s="1"/>
  <c r="G177" i="30"/>
  <c r="H177" i="30" s="1"/>
  <c r="C190" i="30" s="1"/>
  <c r="H176" i="30"/>
  <c r="C191" i="30" s="1"/>
  <c r="C195" i="30" s="1"/>
  <c r="C211" i="30" s="1"/>
  <c r="C217" i="30" s="1"/>
  <c r="C194" i="30" l="1"/>
  <c r="B211" i="30" s="1"/>
  <c r="B217" i="30" s="1"/>
  <c r="C220" i="30"/>
  <c r="C221" i="30"/>
  <c r="C219" i="30"/>
  <c r="B219" i="30" l="1"/>
  <c r="B220" i="30"/>
  <c r="B221" i="30"/>
  <c r="B73" i="16" l="1"/>
  <c r="D3" i="23" l="1"/>
  <c r="B68" i="16" l="1"/>
  <c r="B67" i="16"/>
  <c r="B69" i="16"/>
  <c r="X4" i="10" l="1"/>
  <c r="D42" i="12"/>
  <c r="D43" i="7"/>
  <c r="D43" i="9"/>
  <c r="V12" i="9"/>
  <c r="V13" i="9"/>
  <c r="V14" i="9"/>
  <c r="V15" i="9"/>
  <c r="V16" i="9"/>
  <c r="V17" i="9"/>
  <c r="V18" i="9"/>
  <c r="V19" i="9"/>
  <c r="V20" i="9"/>
  <c r="V21" i="9"/>
  <c r="V22" i="9"/>
  <c r="D43" i="8"/>
  <c r="B2" i="8"/>
  <c r="D5" i="23" l="1"/>
  <c r="C4" i="23"/>
  <c r="C3" i="23"/>
  <c r="D38" i="10"/>
  <c r="E45" i="8"/>
  <c r="D45" i="8"/>
  <c r="C45" i="8"/>
  <c r="D41" i="8"/>
  <c r="D39" i="8"/>
  <c r="E37" i="8"/>
  <c r="E36" i="8"/>
  <c r="D36" i="8"/>
  <c r="C36" i="8"/>
  <c r="D4" i="23" l="1"/>
  <c r="E44" i="12"/>
  <c r="D44" i="12"/>
  <c r="C44" i="12"/>
  <c r="D40" i="12"/>
  <c r="D38" i="12"/>
  <c r="E35" i="12"/>
  <c r="D35" i="12"/>
  <c r="C35" i="12"/>
  <c r="AE14" i="12"/>
  <c r="AE15" i="12"/>
  <c r="AE16" i="12"/>
  <c r="AE17" i="12"/>
  <c r="AE18" i="12"/>
  <c r="AE19" i="12"/>
  <c r="AE20" i="12"/>
  <c r="AE21" i="12"/>
  <c r="AE22" i="12"/>
  <c r="AE23" i="12"/>
  <c r="AE24" i="12"/>
  <c r="AE25" i="12"/>
  <c r="AE13" i="12"/>
  <c r="AD12" i="12"/>
  <c r="AD13" i="12"/>
  <c r="AD14" i="12"/>
  <c r="AD15" i="12"/>
  <c r="AD16" i="12"/>
  <c r="AD17" i="12"/>
  <c r="AD18" i="12"/>
  <c r="AD19" i="12"/>
  <c r="AD20" i="12"/>
  <c r="AD21" i="12"/>
  <c r="AD22" i="12"/>
  <c r="AD23" i="12"/>
  <c r="AD24" i="12"/>
  <c r="AD25" i="12"/>
  <c r="AD11" i="12"/>
  <c r="Z3" i="12"/>
  <c r="Z18" i="12"/>
  <c r="Z6" i="12"/>
  <c r="B3" i="12"/>
  <c r="AF25" i="12"/>
  <c r="AF24" i="12"/>
  <c r="AF23" i="12"/>
  <c r="AF22" i="12"/>
  <c r="AF21" i="12"/>
  <c r="AF20" i="12"/>
  <c r="AF19" i="12"/>
  <c r="AF18" i="12"/>
  <c r="AF17" i="12"/>
  <c r="AF16" i="12"/>
  <c r="AF15" i="12"/>
  <c r="AF14" i="12"/>
  <c r="AF13" i="12"/>
  <c r="AF12" i="12"/>
  <c r="AF11" i="12"/>
  <c r="T25" i="12"/>
  <c r="T24" i="12"/>
  <c r="T23" i="12"/>
  <c r="T22" i="12"/>
  <c r="T21" i="12"/>
  <c r="T20" i="12"/>
  <c r="T19" i="12"/>
  <c r="T18" i="12"/>
  <c r="T17" i="12"/>
  <c r="T16" i="12"/>
  <c r="T15" i="12"/>
  <c r="T14" i="12"/>
  <c r="T13" i="12"/>
  <c r="T12" i="12"/>
  <c r="T11" i="12"/>
  <c r="N3" i="12"/>
  <c r="N4" i="12"/>
  <c r="L4" i="7"/>
  <c r="H25" i="12"/>
  <c r="H24" i="12"/>
  <c r="H23" i="12"/>
  <c r="H22" i="12"/>
  <c r="H21" i="12"/>
  <c r="H20" i="12"/>
  <c r="H19" i="12"/>
  <c r="H18" i="12"/>
  <c r="H17" i="12"/>
  <c r="H16" i="12"/>
  <c r="H15" i="12"/>
  <c r="H14" i="12"/>
  <c r="H13" i="12"/>
  <c r="H12" i="12"/>
  <c r="H11" i="12"/>
  <c r="J11" i="12" s="1"/>
  <c r="F12" i="7"/>
  <c r="F13" i="7"/>
  <c r="F14" i="7"/>
  <c r="F15" i="7"/>
  <c r="F16" i="7"/>
  <c r="F17" i="7"/>
  <c r="F18" i="7"/>
  <c r="F19" i="7"/>
  <c r="F20" i="7"/>
  <c r="F21" i="7"/>
  <c r="F22" i="7"/>
  <c r="F23" i="7"/>
  <c r="F24" i="7"/>
  <c r="F25" i="7"/>
  <c r="F11" i="7"/>
  <c r="B4" i="7"/>
  <c r="D41" i="9"/>
  <c r="D39" i="9"/>
  <c r="E45" i="9"/>
  <c r="D45" i="9"/>
  <c r="C45" i="9"/>
  <c r="Z25" i="9"/>
  <c r="Z24" i="9"/>
  <c r="Z23" i="9"/>
  <c r="Z22" i="9"/>
  <c r="Z21" i="9"/>
  <c r="Z20" i="9"/>
  <c r="Z19" i="9"/>
  <c r="Z18" i="9"/>
  <c r="Z17" i="9"/>
  <c r="Z16" i="9"/>
  <c r="Z15" i="9"/>
  <c r="Z14" i="9"/>
  <c r="Z13" i="9"/>
  <c r="Z12" i="9"/>
  <c r="Z11" i="9"/>
  <c r="Z10" i="9"/>
  <c r="Z9" i="9"/>
  <c r="Z8" i="9"/>
  <c r="Z7" i="9"/>
  <c r="P25" i="9"/>
  <c r="P24" i="9"/>
  <c r="P23" i="9"/>
  <c r="P22" i="9"/>
  <c r="P21" i="9"/>
  <c r="P20" i="9"/>
  <c r="P19" i="9"/>
  <c r="P18" i="9"/>
  <c r="P17" i="9"/>
  <c r="P16" i="9"/>
  <c r="P15" i="9"/>
  <c r="P14" i="9"/>
  <c r="P13" i="9"/>
  <c r="P12" i="9"/>
  <c r="P11" i="9"/>
  <c r="P10" i="9"/>
  <c r="P9" i="9"/>
  <c r="P8" i="9"/>
  <c r="P7" i="9"/>
  <c r="F25" i="9"/>
  <c r="F24" i="9"/>
  <c r="F23" i="9"/>
  <c r="F22" i="9"/>
  <c r="F21" i="9"/>
  <c r="F20" i="9"/>
  <c r="F19" i="9"/>
  <c r="F18" i="9"/>
  <c r="F17" i="9"/>
  <c r="F16" i="9"/>
  <c r="F15" i="9"/>
  <c r="F14" i="9"/>
  <c r="F13" i="9"/>
  <c r="F12" i="9"/>
  <c r="F11" i="9"/>
  <c r="F10" i="9"/>
  <c r="F9" i="9"/>
  <c r="F8" i="9"/>
  <c r="F7" i="9"/>
  <c r="Z26" i="8"/>
  <c r="Z25" i="8"/>
  <c r="Z24" i="8"/>
  <c r="Z23" i="8"/>
  <c r="Z22" i="8"/>
  <c r="Z21" i="8"/>
  <c r="Z20" i="8"/>
  <c r="Z19" i="8"/>
  <c r="Z18" i="8"/>
  <c r="Z17" i="8"/>
  <c r="Z16" i="8"/>
  <c r="Z15" i="8"/>
  <c r="Z14" i="8"/>
  <c r="Z13" i="8"/>
  <c r="Z12" i="8"/>
  <c r="Z11" i="8"/>
  <c r="Z10" i="8"/>
  <c r="Z9" i="8"/>
  <c r="Z8" i="8"/>
  <c r="Z7" i="8"/>
  <c r="P25" i="8"/>
  <c r="P24" i="8"/>
  <c r="P23" i="8"/>
  <c r="P22" i="8"/>
  <c r="P21" i="8"/>
  <c r="P20" i="8"/>
  <c r="P19" i="8"/>
  <c r="P18" i="8"/>
  <c r="P17" i="8"/>
  <c r="P16" i="8"/>
  <c r="P15" i="8"/>
  <c r="P14" i="8"/>
  <c r="P13" i="8"/>
  <c r="P12" i="8"/>
  <c r="P11" i="8"/>
  <c r="P10" i="8"/>
  <c r="P9" i="8"/>
  <c r="P8" i="8"/>
  <c r="P7" i="8"/>
  <c r="F23" i="8"/>
  <c r="F24" i="8"/>
  <c r="F25" i="8"/>
  <c r="F22" i="8"/>
  <c r="F21" i="8"/>
  <c r="F20" i="8"/>
  <c r="F19" i="8"/>
  <c r="F18" i="8"/>
  <c r="F17" i="8"/>
  <c r="F16" i="8"/>
  <c r="F15" i="8"/>
  <c r="F14" i="8"/>
  <c r="F13" i="8"/>
  <c r="F12" i="8"/>
  <c r="F11" i="8"/>
  <c r="F10" i="8"/>
  <c r="F9" i="8"/>
  <c r="F8" i="8"/>
  <c r="F7" i="8"/>
  <c r="G7" i="8" s="1"/>
  <c r="V3" i="8"/>
  <c r="L3" i="8"/>
  <c r="L4" i="8"/>
  <c r="C37" i="8" s="1"/>
  <c r="B3" i="8"/>
  <c r="E37" i="9" s="1"/>
  <c r="C11" i="7" l="1"/>
  <c r="C12" i="7"/>
  <c r="C8" i="7"/>
  <c r="P14" i="12"/>
  <c r="O14" i="12" s="1"/>
  <c r="V14" i="12" s="1"/>
  <c r="P11" i="12"/>
  <c r="O11" i="12" s="1"/>
  <c r="V11" i="12" s="1"/>
  <c r="P15" i="12"/>
  <c r="O15" i="12" s="1"/>
  <c r="V15" i="12" s="1"/>
  <c r="P12" i="12"/>
  <c r="Q12" i="12" s="1"/>
  <c r="P16" i="12"/>
  <c r="O16" i="12" s="1"/>
  <c r="V16" i="12" s="1"/>
  <c r="P13" i="12"/>
  <c r="O13" i="12" s="1"/>
  <c r="P17" i="12"/>
  <c r="F11" i="12"/>
  <c r="G17" i="12"/>
  <c r="J17" i="12" s="1"/>
  <c r="G15" i="12"/>
  <c r="J15" i="12" s="1"/>
  <c r="G13" i="12"/>
  <c r="J13" i="12" s="1"/>
  <c r="F25" i="12"/>
  <c r="F23" i="12"/>
  <c r="F21" i="12"/>
  <c r="F19" i="12"/>
  <c r="F17" i="12"/>
  <c r="F15" i="12"/>
  <c r="F13" i="12"/>
  <c r="B11" i="12"/>
  <c r="G24" i="12"/>
  <c r="J24" i="12" s="1"/>
  <c r="G22" i="12"/>
  <c r="J22" i="12" s="1"/>
  <c r="G20" i="12"/>
  <c r="J20" i="12" s="1"/>
  <c r="F12" i="12"/>
  <c r="G18" i="12"/>
  <c r="J18" i="12" s="1"/>
  <c r="G16" i="12"/>
  <c r="J16" i="12" s="1"/>
  <c r="G14" i="12"/>
  <c r="J14" i="12" s="1"/>
  <c r="F24" i="12"/>
  <c r="F22" i="12"/>
  <c r="F20" i="12"/>
  <c r="F18" i="12"/>
  <c r="F16" i="12"/>
  <c r="F14" i="12"/>
  <c r="B12" i="12"/>
  <c r="G25" i="12"/>
  <c r="J25" i="12" s="1"/>
  <c r="G23" i="12"/>
  <c r="J23" i="12" s="1"/>
  <c r="G21" i="12"/>
  <c r="J21" i="12" s="1"/>
  <c r="G19" i="12"/>
  <c r="J19" i="12" s="1"/>
  <c r="C15" i="7"/>
  <c r="C16" i="7"/>
  <c r="C13" i="7"/>
  <c r="C17" i="7"/>
  <c r="C18" i="7" s="1"/>
  <c r="C19" i="7" s="1"/>
  <c r="C20" i="7" s="1"/>
  <c r="C21" i="7" s="1"/>
  <c r="C22" i="7" s="1"/>
  <c r="C23" i="7" s="1"/>
  <c r="C24" i="7" s="1"/>
  <c r="C25" i="7" s="1"/>
  <c r="C14" i="7"/>
  <c r="M15" i="7"/>
  <c r="M12" i="7"/>
  <c r="M16" i="7"/>
  <c r="M13" i="7"/>
  <c r="M17" i="7"/>
  <c r="M18" i="7" s="1"/>
  <c r="M14" i="7"/>
  <c r="M11" i="7"/>
  <c r="C36" i="12"/>
  <c r="C37" i="9"/>
  <c r="Q13" i="12" l="1"/>
  <c r="V13" i="12" s="1"/>
  <c r="V12" i="12"/>
  <c r="O17" i="12"/>
  <c r="V17" i="12" s="1"/>
  <c r="P18" i="12"/>
  <c r="I11" i="12"/>
  <c r="D40" i="10"/>
  <c r="E40" i="10"/>
  <c r="C40" i="10"/>
  <c r="E37" i="10"/>
  <c r="C37" i="10"/>
  <c r="D37" i="10" s="1"/>
  <c r="AC26" i="10"/>
  <c r="AC25" i="10"/>
  <c r="AC24" i="10"/>
  <c r="AC23" i="10"/>
  <c r="AC22" i="10"/>
  <c r="AC21" i="10"/>
  <c r="AC20" i="10"/>
  <c r="AC19" i="10"/>
  <c r="AC18" i="10"/>
  <c r="AC17" i="10"/>
  <c r="AC16" i="10"/>
  <c r="AC15" i="10"/>
  <c r="AC14" i="10"/>
  <c r="AC13" i="10"/>
  <c r="AC12" i="10"/>
  <c r="AC11" i="10"/>
  <c r="S26" i="10"/>
  <c r="S25" i="10"/>
  <c r="S24" i="10"/>
  <c r="S23" i="10"/>
  <c r="S22" i="10"/>
  <c r="S21" i="10"/>
  <c r="S20" i="10"/>
  <c r="S19" i="10"/>
  <c r="S18" i="10"/>
  <c r="S17" i="10"/>
  <c r="S16" i="10"/>
  <c r="S15" i="10"/>
  <c r="S14" i="10"/>
  <c r="S13" i="10"/>
  <c r="S12" i="10"/>
  <c r="S11" i="10"/>
  <c r="T11" i="10" s="1"/>
  <c r="G12" i="10"/>
  <c r="G13" i="10"/>
  <c r="G14" i="10"/>
  <c r="G15" i="10"/>
  <c r="G16" i="10"/>
  <c r="G17" i="10"/>
  <c r="G18" i="10"/>
  <c r="G19" i="10"/>
  <c r="G20" i="10"/>
  <c r="G21" i="10"/>
  <c r="G22" i="10"/>
  <c r="G23" i="10"/>
  <c r="G24" i="10"/>
  <c r="G25" i="10"/>
  <c r="G26" i="10"/>
  <c r="G11" i="10"/>
  <c r="B56" i="16"/>
  <c r="C37" i="7"/>
  <c r="E37" i="7"/>
  <c r="E44" i="10"/>
  <c r="D44" i="10"/>
  <c r="C44" i="10"/>
  <c r="D36" i="7"/>
  <c r="E36" i="7"/>
  <c r="C36" i="7"/>
  <c r="Y14" i="7"/>
  <c r="Y15" i="7"/>
  <c r="Y16" i="7"/>
  <c r="Y17" i="7"/>
  <c r="Y18" i="7"/>
  <c r="Y19" i="7"/>
  <c r="Y20" i="7"/>
  <c r="Y21" i="7"/>
  <c r="Y22" i="7"/>
  <c r="Y23" i="7"/>
  <c r="Y24" i="7"/>
  <c r="Y25" i="7"/>
  <c r="Y13" i="7"/>
  <c r="X12" i="7"/>
  <c r="X13" i="7"/>
  <c r="X14" i="7"/>
  <c r="X15" i="7"/>
  <c r="X16" i="7"/>
  <c r="X17" i="7"/>
  <c r="X18" i="7"/>
  <c r="X19" i="7"/>
  <c r="X20" i="7"/>
  <c r="X21" i="7"/>
  <c r="X22" i="7"/>
  <c r="X23" i="7"/>
  <c r="X24" i="7"/>
  <c r="X25" i="7"/>
  <c r="X11" i="7"/>
  <c r="V18" i="7"/>
  <c r="D45" i="7"/>
  <c r="E45" i="7"/>
  <c r="C45" i="7"/>
  <c r="D41" i="7"/>
  <c r="D39" i="7"/>
  <c r="O18" i="12" l="1"/>
  <c r="V18" i="12" s="1"/>
  <c r="P19" i="12"/>
  <c r="Q28" i="10"/>
  <c r="AB25" i="10"/>
  <c r="AB21" i="10"/>
  <c r="AB17" i="10"/>
  <c r="AB13" i="10"/>
  <c r="AB24" i="10"/>
  <c r="AB20" i="10"/>
  <c r="AB16" i="10"/>
  <c r="AB12" i="10"/>
  <c r="AB11" i="10"/>
  <c r="AD11" i="10" s="1"/>
  <c r="AB23" i="10"/>
  <c r="AB19" i="10"/>
  <c r="AB15" i="10"/>
  <c r="D36" i="10"/>
  <c r="AB26" i="10"/>
  <c r="AB22" i="10"/>
  <c r="AB18" i="10"/>
  <c r="AB14" i="10"/>
  <c r="B43" i="16"/>
  <c r="O19" i="12" l="1"/>
  <c r="V19" i="12" s="1"/>
  <c r="P20" i="12"/>
  <c r="H12" i="26"/>
  <c r="B5" i="26"/>
  <c r="B7" i="26" s="1"/>
  <c r="D6" i="23"/>
  <c r="E5" i="26"/>
  <c r="E7" i="26" s="1"/>
  <c r="K5" i="26"/>
  <c r="K7" i="26" s="1"/>
  <c r="J5" i="26"/>
  <c r="J7" i="26" s="1"/>
  <c r="I5" i="26"/>
  <c r="I7" i="26" s="1"/>
  <c r="C5" i="26"/>
  <c r="C7" i="26" s="1"/>
  <c r="D5" i="26"/>
  <c r="D7" i="26" s="1"/>
  <c r="G5" i="26"/>
  <c r="G7" i="26" s="1"/>
  <c r="H5" i="26"/>
  <c r="H7" i="26" s="1"/>
  <c r="F5" i="26"/>
  <c r="F7" i="26" s="1"/>
  <c r="AA15" i="10"/>
  <c r="AA19" i="10"/>
  <c r="AA23" i="10"/>
  <c r="AA11" i="10"/>
  <c r="AA12" i="10"/>
  <c r="AA16" i="10"/>
  <c r="AA20" i="10"/>
  <c r="AA24" i="10"/>
  <c r="AA13" i="10"/>
  <c r="AA17" i="10"/>
  <c r="AA21" i="10"/>
  <c r="AA25" i="10"/>
  <c r="AA14" i="10"/>
  <c r="AA18" i="10"/>
  <c r="AA22" i="10"/>
  <c r="AA26" i="10"/>
  <c r="D42" i="8"/>
  <c r="Z5" i="12"/>
  <c r="D42" i="9"/>
  <c r="D41" i="12"/>
  <c r="D41" i="10"/>
  <c r="D42" i="7"/>
  <c r="Z11" i="7"/>
  <c r="P11" i="7"/>
  <c r="Z12" i="7"/>
  <c r="P13" i="7"/>
  <c r="Z14" i="7"/>
  <c r="Z15" i="7"/>
  <c r="Z16" i="7"/>
  <c r="Z17" i="7"/>
  <c r="Z18" i="7"/>
  <c r="Z19" i="7"/>
  <c r="Z20" i="7"/>
  <c r="P21" i="7"/>
  <c r="Z22" i="7"/>
  <c r="Z23" i="7"/>
  <c r="Z24" i="7"/>
  <c r="Z25" i="7"/>
  <c r="P21" i="12" l="1"/>
  <c r="O20" i="12"/>
  <c r="V20" i="12" s="1"/>
  <c r="B11" i="26"/>
  <c r="B12" i="26" s="1"/>
  <c r="D24" i="23"/>
  <c r="D23" i="23"/>
  <c r="D25" i="23"/>
  <c r="D12" i="23"/>
  <c r="D14" i="23"/>
  <c r="D13" i="23"/>
  <c r="D18" i="23"/>
  <c r="D16" i="23"/>
  <c r="D22" i="23"/>
  <c r="D17" i="23"/>
  <c r="D11" i="23"/>
  <c r="W7" i="8" s="1"/>
  <c r="W7" i="9" s="1"/>
  <c r="D20" i="23"/>
  <c r="D15" i="23"/>
  <c r="D21" i="23"/>
  <c r="D19" i="23"/>
  <c r="P25" i="7"/>
  <c r="P17" i="7"/>
  <c r="Z21" i="7"/>
  <c r="Z13" i="7"/>
  <c r="P24" i="7"/>
  <c r="P20" i="7"/>
  <c r="P16" i="7"/>
  <c r="P12" i="7"/>
  <c r="P23" i="7"/>
  <c r="P19" i="7"/>
  <c r="P15" i="7"/>
  <c r="P22" i="7"/>
  <c r="P18" i="7"/>
  <c r="P14" i="7"/>
  <c r="P22" i="12" l="1"/>
  <c r="O21" i="12"/>
  <c r="V21" i="12" s="1"/>
  <c r="W15" i="8"/>
  <c r="W15" i="9" s="1"/>
  <c r="W14" i="8"/>
  <c r="W14" i="9" s="1"/>
  <c r="W13" i="8"/>
  <c r="W13" i="9" s="1"/>
  <c r="W25" i="8"/>
  <c r="W25" i="9" s="1"/>
  <c r="W24" i="8"/>
  <c r="W24" i="9" s="1"/>
  <c r="W22" i="8"/>
  <c r="W22" i="9" s="1"/>
  <c r="W23" i="8"/>
  <c r="W23" i="9" s="1"/>
  <c r="W21" i="8"/>
  <c r="W21" i="9" s="1"/>
  <c r="W17" i="8"/>
  <c r="W17" i="9" s="1"/>
  <c r="W9" i="8"/>
  <c r="W9" i="9" s="1"/>
  <c r="W19" i="8"/>
  <c r="W19" i="9" s="1"/>
  <c r="W11" i="8"/>
  <c r="W11" i="9" s="1"/>
  <c r="W18" i="8"/>
  <c r="W18" i="9" s="1"/>
  <c r="W10" i="8"/>
  <c r="W10" i="9" s="1"/>
  <c r="W20" i="8"/>
  <c r="W20" i="9" s="1"/>
  <c r="W16" i="8"/>
  <c r="W16" i="9" s="1"/>
  <c r="W12" i="8"/>
  <c r="W12" i="9" s="1"/>
  <c r="W8" i="8"/>
  <c r="W8" i="9" s="1"/>
  <c r="B18" i="12"/>
  <c r="P23" i="12" l="1"/>
  <c r="O22" i="12"/>
  <c r="V22" i="12" s="1"/>
  <c r="B21" i="16"/>
  <c r="B16" i="16"/>
  <c r="B11" i="16"/>
  <c r="B6" i="16"/>
  <c r="P24" i="12" l="1"/>
  <c r="O23" i="12"/>
  <c r="V23" i="12" s="1"/>
  <c r="V11" i="9"/>
  <c r="V7" i="9"/>
  <c r="V8" i="9"/>
  <c r="V9" i="9"/>
  <c r="V10" i="9"/>
  <c r="D38" i="8"/>
  <c r="D37" i="12"/>
  <c r="D38" i="9"/>
  <c r="Z11" i="12"/>
  <c r="V11" i="7"/>
  <c r="D38" i="7"/>
  <c r="I11" i="10"/>
  <c r="U11" i="10"/>
  <c r="AE11" i="10"/>
  <c r="P25" i="12" l="1"/>
  <c r="O25" i="12" s="1"/>
  <c r="V25" i="12" s="1"/>
  <c r="O24" i="12"/>
  <c r="V24" i="12" s="1"/>
  <c r="Y8" i="9"/>
  <c r="Y7" i="9"/>
  <c r="N8" i="9"/>
  <c r="O8" i="9"/>
  <c r="N9" i="9"/>
  <c r="N10" i="9"/>
  <c r="N11" i="9"/>
  <c r="N12" i="9"/>
  <c r="N13" i="9"/>
  <c r="N14" i="9"/>
  <c r="N15" i="9"/>
  <c r="N16" i="9"/>
  <c r="N17" i="9"/>
  <c r="N18" i="9"/>
  <c r="N19" i="9"/>
  <c r="N20" i="9"/>
  <c r="N21" i="9"/>
  <c r="N22" i="9"/>
  <c r="N23" i="9"/>
  <c r="N24" i="9"/>
  <c r="N25" i="9"/>
  <c r="O7" i="9"/>
  <c r="N7" i="9"/>
  <c r="E8" i="9"/>
  <c r="E7" i="9"/>
  <c r="I24" i="12"/>
  <c r="I16" i="12"/>
  <c r="U12" i="12"/>
  <c r="Q23" i="8"/>
  <c r="AG12" i="12" l="1"/>
  <c r="AG20" i="12"/>
  <c r="AG24" i="12"/>
  <c r="AG13" i="12"/>
  <c r="AG17" i="12"/>
  <c r="AG21" i="12"/>
  <c r="AG25" i="12"/>
  <c r="AG14" i="12"/>
  <c r="AG22" i="12"/>
  <c r="AG15" i="12"/>
  <c r="AG19" i="12"/>
  <c r="AG23" i="12"/>
  <c r="AG11" i="12"/>
  <c r="G23" i="9"/>
  <c r="G24" i="9"/>
  <c r="G25" i="9"/>
  <c r="I22" i="12"/>
  <c r="Q23" i="9"/>
  <c r="Q25" i="9"/>
  <c r="Q24" i="9"/>
  <c r="Q25" i="8"/>
  <c r="U11" i="12"/>
  <c r="I14" i="12"/>
  <c r="I20" i="12"/>
  <c r="O22" i="9"/>
  <c r="O20" i="9"/>
  <c r="O18" i="9"/>
  <c r="O16" i="9"/>
  <c r="O14" i="9"/>
  <c r="O12" i="9"/>
  <c r="O10" i="9"/>
  <c r="O21" i="9"/>
  <c r="O19" i="9"/>
  <c r="O17" i="9"/>
  <c r="O15" i="9"/>
  <c r="O13" i="9"/>
  <c r="O11" i="9"/>
  <c r="I13" i="12"/>
  <c r="I21" i="12"/>
  <c r="U18" i="12"/>
  <c r="I19" i="12"/>
  <c r="I23" i="12"/>
  <c r="I25" i="12"/>
  <c r="I15" i="12"/>
  <c r="I17" i="12"/>
  <c r="AG16" i="12"/>
  <c r="I18" i="12"/>
  <c r="Q24" i="8"/>
  <c r="V5" i="8"/>
  <c r="H16" i="10" l="1"/>
  <c r="H21" i="10"/>
  <c r="H19" i="10"/>
  <c r="AD16" i="10"/>
  <c r="AD21" i="10"/>
  <c r="O25" i="9"/>
  <c r="O9" i="9"/>
  <c r="O24" i="9"/>
  <c r="O23" i="9"/>
  <c r="E22" i="9"/>
  <c r="E18" i="9"/>
  <c r="E14" i="9"/>
  <c r="E10" i="9"/>
  <c r="E21" i="9"/>
  <c r="E17" i="9"/>
  <c r="E13" i="9"/>
  <c r="E20" i="9"/>
  <c r="E16" i="9"/>
  <c r="E12" i="9"/>
  <c r="H9" i="9"/>
  <c r="E19" i="9"/>
  <c r="E15" i="9"/>
  <c r="E11" i="9"/>
  <c r="U25" i="12"/>
  <c r="U21" i="12"/>
  <c r="U17" i="12"/>
  <c r="U13" i="12"/>
  <c r="AG18" i="12"/>
  <c r="I12" i="12"/>
  <c r="U23" i="12"/>
  <c r="U19" i="12"/>
  <c r="U15" i="12"/>
  <c r="U24" i="12"/>
  <c r="U22" i="12"/>
  <c r="U20" i="12"/>
  <c r="U16" i="12"/>
  <c r="U14" i="12"/>
  <c r="G17" i="7"/>
  <c r="Q18" i="7"/>
  <c r="G18" i="7"/>
  <c r="H7" i="9"/>
  <c r="T12" i="10"/>
  <c r="T14" i="10"/>
  <c r="H8" i="9"/>
  <c r="Q13" i="9"/>
  <c r="V4" i="8"/>
  <c r="Q15" i="7"/>
  <c r="H11" i="7"/>
  <c r="G14" i="7"/>
  <c r="G13" i="7"/>
  <c r="G16" i="7"/>
  <c r="Q12" i="7"/>
  <c r="AA16" i="7"/>
  <c r="AH27" i="12" l="1"/>
  <c r="D45" i="12" s="1"/>
  <c r="D37" i="8"/>
  <c r="D37" i="9"/>
  <c r="X19" i="9"/>
  <c r="AA19" i="9" s="1"/>
  <c r="X10" i="9"/>
  <c r="X13" i="9"/>
  <c r="AA13" i="9" s="1"/>
  <c r="X18" i="9"/>
  <c r="X12" i="9"/>
  <c r="AA12" i="9" s="1"/>
  <c r="X9" i="9"/>
  <c r="X14" i="9"/>
  <c r="X11" i="9"/>
  <c r="X21" i="9"/>
  <c r="AA21" i="9" s="1"/>
  <c r="X22" i="9"/>
  <c r="AA22" i="9" s="1"/>
  <c r="X16" i="9"/>
  <c r="X8" i="9"/>
  <c r="X7" i="9"/>
  <c r="X17" i="9"/>
  <c r="X15" i="9"/>
  <c r="X20" i="9"/>
  <c r="AA20" i="9" s="1"/>
  <c r="V27" i="12"/>
  <c r="C45" i="12" s="1"/>
  <c r="H25" i="10"/>
  <c r="H12" i="10"/>
  <c r="H11" i="10"/>
  <c r="H23" i="10"/>
  <c r="H13" i="10"/>
  <c r="AA17" i="7"/>
  <c r="Y15" i="9"/>
  <c r="Y18" i="9"/>
  <c r="Y21" i="9"/>
  <c r="E24" i="9"/>
  <c r="E25" i="9"/>
  <c r="Y19" i="9"/>
  <c r="Y22" i="9"/>
  <c r="Y12" i="9"/>
  <c r="Y9" i="9"/>
  <c r="AB9" i="9" s="1"/>
  <c r="E23" i="9"/>
  <c r="Y10" i="9"/>
  <c r="Y13" i="9"/>
  <c r="Y16" i="9"/>
  <c r="Y11" i="9"/>
  <c r="Y14" i="9"/>
  <c r="Y17" i="9"/>
  <c r="Y20" i="9"/>
  <c r="H27" i="12"/>
  <c r="E45" i="12" s="1"/>
  <c r="G23" i="8"/>
  <c r="G25" i="8"/>
  <c r="G24" i="8"/>
  <c r="AD25" i="10"/>
  <c r="AA14" i="7"/>
  <c r="AD12" i="10"/>
  <c r="AD17" i="10"/>
  <c r="AD22" i="10"/>
  <c r="AD26" i="10"/>
  <c r="AD14" i="10"/>
  <c r="AD19" i="10"/>
  <c r="AD23" i="10"/>
  <c r="AD13" i="10"/>
  <c r="H26" i="10"/>
  <c r="H22" i="10"/>
  <c r="H17" i="10"/>
  <c r="T19" i="10"/>
  <c r="T21" i="10"/>
  <c r="T23" i="10"/>
  <c r="T25" i="10"/>
  <c r="T18" i="10"/>
  <c r="H18" i="10"/>
  <c r="T15" i="10"/>
  <c r="T17" i="10"/>
  <c r="AD24" i="10"/>
  <c r="T13" i="10"/>
  <c r="H24" i="10"/>
  <c r="H20" i="10"/>
  <c r="H15" i="10"/>
  <c r="T20" i="10"/>
  <c r="T22" i="10"/>
  <c r="T24" i="10"/>
  <c r="T26" i="10"/>
  <c r="AD15" i="10"/>
  <c r="T16" i="10"/>
  <c r="AD20" i="10"/>
  <c r="H14" i="10"/>
  <c r="Q22" i="9"/>
  <c r="R8" i="9"/>
  <c r="Q20" i="9"/>
  <c r="G13" i="9"/>
  <c r="Q21" i="9"/>
  <c r="G12" i="9"/>
  <c r="AB8" i="9"/>
  <c r="G22" i="9"/>
  <c r="R7" i="9"/>
  <c r="AB7" i="9"/>
  <c r="Q19" i="9"/>
  <c r="G19" i="9"/>
  <c r="G21" i="9"/>
  <c r="R9" i="9"/>
  <c r="G20" i="9"/>
  <c r="Q12" i="9"/>
  <c r="R8" i="8"/>
  <c r="AB7" i="8"/>
  <c r="G13" i="8"/>
  <c r="AA21" i="8"/>
  <c r="Q21" i="8"/>
  <c r="Q13" i="8"/>
  <c r="R9" i="8"/>
  <c r="Q20" i="8"/>
  <c r="AB9" i="8"/>
  <c r="G12" i="8"/>
  <c r="AA20" i="8"/>
  <c r="AA22" i="8"/>
  <c r="AB8" i="8"/>
  <c r="Q12" i="8"/>
  <c r="AA12" i="8"/>
  <c r="G19" i="8"/>
  <c r="G21" i="8"/>
  <c r="Q22" i="8"/>
  <c r="R7" i="8"/>
  <c r="AA19" i="8"/>
  <c r="Q19" i="8"/>
  <c r="AA13" i="8"/>
  <c r="G20" i="8"/>
  <c r="G22" i="8"/>
  <c r="AA12" i="7"/>
  <c r="G11" i="7"/>
  <c r="G12" i="7"/>
  <c r="Q11" i="7"/>
  <c r="R11" i="7"/>
  <c r="Q16" i="7"/>
  <c r="G20" i="7"/>
  <c r="G22" i="7"/>
  <c r="G24" i="7"/>
  <c r="Q19" i="7"/>
  <c r="Q21" i="7"/>
  <c r="Q23" i="7"/>
  <c r="Q25" i="7"/>
  <c r="Q14" i="7"/>
  <c r="AA11" i="7"/>
  <c r="Q13" i="7"/>
  <c r="AA18" i="7"/>
  <c r="AA20" i="7"/>
  <c r="AA22" i="7"/>
  <c r="AA24" i="7"/>
  <c r="Q17" i="7"/>
  <c r="AA13" i="7"/>
  <c r="G19" i="7"/>
  <c r="G21" i="7"/>
  <c r="G23" i="7"/>
  <c r="G25" i="7"/>
  <c r="G15" i="7"/>
  <c r="Q20" i="7"/>
  <c r="Q22" i="7"/>
  <c r="Q24" i="7"/>
  <c r="AA19" i="7"/>
  <c r="AA21" i="7"/>
  <c r="AA23" i="7"/>
  <c r="AA25" i="7"/>
  <c r="AA15" i="7"/>
  <c r="I28" i="10" l="1"/>
  <c r="E45" i="10" s="1"/>
  <c r="U28" i="10"/>
  <c r="C45" i="10" s="1"/>
  <c r="AA23" i="8"/>
  <c r="X23" i="9"/>
  <c r="AA23" i="9" s="1"/>
  <c r="X24" i="9"/>
  <c r="AA24" i="9" s="1"/>
  <c r="AA24" i="8"/>
  <c r="AA26" i="8"/>
  <c r="AA25" i="8"/>
  <c r="X25" i="9"/>
  <c r="AA25" i="9" s="1"/>
  <c r="R28" i="7"/>
  <c r="C46" i="7" s="1"/>
  <c r="Y25" i="9"/>
  <c r="Y23" i="9"/>
  <c r="Y24" i="9"/>
  <c r="H28" i="7"/>
  <c r="E46" i="7" s="1"/>
  <c r="AB28" i="7"/>
  <c r="D46" i="7" s="1"/>
  <c r="AD18" i="10"/>
  <c r="AE28" i="10" s="1"/>
  <c r="D45" i="10" s="1"/>
  <c r="Q17" i="9" l="1"/>
  <c r="Q16" i="9"/>
  <c r="Q15" i="9"/>
  <c r="Q18" i="9"/>
  <c r="Q14" i="8"/>
  <c r="Q18" i="8"/>
  <c r="Q15" i="8"/>
  <c r="Q17" i="8"/>
  <c r="Q16" i="8"/>
  <c r="Q9" i="9"/>
  <c r="Q8" i="9"/>
  <c r="Q10" i="9"/>
  <c r="Q11" i="9"/>
  <c r="Q7" i="9"/>
  <c r="Q10" i="8"/>
  <c r="Q11" i="8"/>
  <c r="Q7" i="8"/>
  <c r="Q9" i="8"/>
  <c r="Q8" i="8"/>
  <c r="AA9" i="9"/>
  <c r="AA8" i="9"/>
  <c r="AA11" i="9"/>
  <c r="AA7" i="9"/>
  <c r="AA10" i="9"/>
  <c r="AA10" i="8"/>
  <c r="AA9" i="8"/>
  <c r="AA11" i="8"/>
  <c r="AA8" i="8"/>
  <c r="G7" i="9"/>
  <c r="AA17" i="9"/>
  <c r="AA16" i="9"/>
  <c r="AA15" i="9"/>
  <c r="AA18" i="9"/>
  <c r="AA14" i="9"/>
  <c r="AA14" i="8"/>
  <c r="AA18" i="8"/>
  <c r="AA15" i="8"/>
  <c r="AA17" i="8"/>
  <c r="AA16" i="8"/>
  <c r="G10" i="9"/>
  <c r="G8" i="9"/>
  <c r="G11" i="9"/>
  <c r="G9" i="9"/>
  <c r="G18" i="9"/>
  <c r="G17" i="9"/>
  <c r="G15" i="9"/>
  <c r="G16" i="9"/>
  <c r="G14" i="9"/>
  <c r="G8" i="8"/>
  <c r="G9" i="8"/>
  <c r="AA7" i="8"/>
  <c r="G10" i="8"/>
  <c r="G11" i="8"/>
  <c r="G16" i="8"/>
  <c r="G17" i="8"/>
  <c r="G14" i="8"/>
  <c r="G18" i="8"/>
  <c r="G15" i="8"/>
  <c r="R28" i="8" l="1"/>
  <c r="C46" i="8" s="1"/>
  <c r="AB28" i="8"/>
  <c r="AB28" i="9"/>
  <c r="D46" i="9" s="1"/>
  <c r="I28" i="8"/>
  <c r="E46" i="8" s="1"/>
  <c r="D46" i="8"/>
  <c r="H28" i="9"/>
  <c r="E46" i="9" s="1"/>
  <c r="Z4" i="12"/>
  <c r="Q14" i="9"/>
  <c r="V4" i="7"/>
  <c r="AB15" i="12" l="1"/>
  <c r="AA15" i="12" s="1"/>
  <c r="AH15" i="12" s="1"/>
  <c r="AB12" i="12"/>
  <c r="AC12" i="12" s="1"/>
  <c r="AB16" i="12"/>
  <c r="AA16" i="12" s="1"/>
  <c r="AH16" i="12" s="1"/>
  <c r="AB13" i="12"/>
  <c r="AA13" i="12" s="1"/>
  <c r="AB17" i="12"/>
  <c r="AB14" i="12"/>
  <c r="AA14" i="12" s="1"/>
  <c r="AH14" i="12" s="1"/>
  <c r="AB11" i="12"/>
  <c r="AA11" i="12" s="1"/>
  <c r="AH11" i="12" s="1"/>
  <c r="R28" i="9"/>
  <c r="C46" i="9" s="1"/>
  <c r="W14" i="7"/>
  <c r="W11" i="7"/>
  <c r="AB11" i="7" s="1"/>
  <c r="W17" i="7"/>
  <c r="W18" i="7" s="1"/>
  <c r="W15" i="7"/>
  <c r="W12" i="7"/>
  <c r="W16" i="7"/>
  <c r="W13" i="7"/>
  <c r="D36" i="12"/>
  <c r="D37" i="7"/>
  <c r="H20" i="9"/>
  <c r="R24" i="9"/>
  <c r="R24" i="8"/>
  <c r="R21" i="9"/>
  <c r="H26" i="9"/>
  <c r="H22" i="8"/>
  <c r="R20" i="8"/>
  <c r="R19" i="9"/>
  <c r="R17" i="7"/>
  <c r="R12" i="7"/>
  <c r="R16" i="7"/>
  <c r="R15" i="7"/>
  <c r="R14" i="7"/>
  <c r="M19" i="7"/>
  <c r="M20" i="7" s="1"/>
  <c r="M21" i="7" s="1"/>
  <c r="M22" i="7" s="1"/>
  <c r="M23" i="7" s="1"/>
  <c r="M24" i="7" s="1"/>
  <c r="M25" i="7" s="1"/>
  <c r="R13" i="7"/>
  <c r="R20" i="9"/>
  <c r="R18" i="7"/>
  <c r="AC13" i="12" l="1"/>
  <c r="AH13" i="12" s="1"/>
  <c r="AB18" i="12"/>
  <c r="AA17" i="12"/>
  <c r="AH17" i="12" s="1"/>
  <c r="W19" i="7"/>
  <c r="W20" i="7" s="1"/>
  <c r="W21" i="7" s="1"/>
  <c r="W22" i="7" s="1"/>
  <c r="W23" i="7" s="1"/>
  <c r="W24" i="7" s="1"/>
  <c r="W25" i="7" s="1"/>
  <c r="H21" i="9"/>
  <c r="R24" i="7"/>
  <c r="H21" i="8"/>
  <c r="H20" i="8"/>
  <c r="R21" i="8"/>
  <c r="R18" i="8"/>
  <c r="R18" i="9"/>
  <c r="R23" i="7"/>
  <c r="R22" i="7"/>
  <c r="R19" i="7"/>
  <c r="R20" i="7"/>
  <c r="H23" i="9"/>
  <c r="H23" i="8"/>
  <c r="AB25" i="9"/>
  <c r="AB25" i="8"/>
  <c r="H24" i="9"/>
  <c r="H24" i="8"/>
  <c r="R25" i="7"/>
  <c r="R21" i="7"/>
  <c r="AB18" i="9"/>
  <c r="AB21" i="9"/>
  <c r="R17" i="8"/>
  <c r="H22" i="9"/>
  <c r="R22" i="9"/>
  <c r="R22" i="8"/>
  <c r="R25" i="9"/>
  <c r="R25" i="8"/>
  <c r="R17" i="9"/>
  <c r="AB26" i="8"/>
  <c r="R19" i="8"/>
  <c r="R23" i="9"/>
  <c r="R23" i="8"/>
  <c r="AB22" i="9"/>
  <c r="H25" i="9"/>
  <c r="H25" i="8"/>
  <c r="R16" i="8"/>
  <c r="R15" i="9"/>
  <c r="R15" i="8"/>
  <c r="AA18" i="12" l="1"/>
  <c r="AH18" i="12" s="1"/>
  <c r="AB19" i="12"/>
  <c r="AH12" i="12"/>
  <c r="AB21" i="8"/>
  <c r="AB18" i="8"/>
  <c r="R29" i="7"/>
  <c r="C47" i="7" s="1"/>
  <c r="R31" i="7"/>
  <c r="B6" i="11" s="1"/>
  <c r="R30" i="7"/>
  <c r="AB24" i="9"/>
  <c r="AB24" i="8"/>
  <c r="AB22" i="8"/>
  <c r="R16" i="9"/>
  <c r="AB23" i="9"/>
  <c r="AB23" i="8"/>
  <c r="AB15" i="9"/>
  <c r="AB15" i="8"/>
  <c r="AB12" i="8"/>
  <c r="AB20" i="9"/>
  <c r="AB20" i="8"/>
  <c r="AB10" i="8"/>
  <c r="AB19" i="9"/>
  <c r="AB19" i="8"/>
  <c r="AB14" i="9"/>
  <c r="AB14" i="8"/>
  <c r="AB11" i="8"/>
  <c r="AB13" i="9"/>
  <c r="AB13" i="8"/>
  <c r="AB17" i="9"/>
  <c r="AB17" i="8"/>
  <c r="AB16" i="9"/>
  <c r="AB16" i="8"/>
  <c r="AA19" i="12" l="1"/>
  <c r="AH19" i="12" s="1"/>
  <c r="AB20" i="12"/>
  <c r="AB29" i="8"/>
  <c r="D47" i="8" s="1"/>
  <c r="AB31" i="8"/>
  <c r="C7" i="11" s="1"/>
  <c r="AB30" i="8"/>
  <c r="C48" i="7"/>
  <c r="C49" i="7" s="1"/>
  <c r="C51" i="7" s="1"/>
  <c r="C50" i="7"/>
  <c r="AB12" i="9"/>
  <c r="AB11" i="9"/>
  <c r="AB10" i="9"/>
  <c r="AA20" i="12" l="1"/>
  <c r="AH20" i="12" s="1"/>
  <c r="AB21" i="12"/>
  <c r="AB31" i="9"/>
  <c r="D7" i="11" s="1"/>
  <c r="AB29" i="9"/>
  <c r="D47" i="9" s="1"/>
  <c r="AB30" i="9"/>
  <c r="D48" i="8"/>
  <c r="D49" i="8" s="1"/>
  <c r="D51" i="8" s="1"/>
  <c r="D50" i="8"/>
  <c r="H23" i="7"/>
  <c r="H18" i="7"/>
  <c r="H14" i="7"/>
  <c r="H19" i="7"/>
  <c r="H24" i="7"/>
  <c r="H17" i="7"/>
  <c r="H21" i="7"/>
  <c r="H20" i="7"/>
  <c r="H13" i="7"/>
  <c r="H15" i="7"/>
  <c r="H25" i="7"/>
  <c r="H16" i="7"/>
  <c r="H22" i="7"/>
  <c r="H12" i="7"/>
  <c r="AB22" i="12" l="1"/>
  <c r="AA21" i="12"/>
  <c r="AH21" i="12" s="1"/>
  <c r="D48" i="9"/>
  <c r="D49" i="9" s="1"/>
  <c r="D51" i="9" s="1"/>
  <c r="D50" i="9"/>
  <c r="H31" i="7"/>
  <c r="B8" i="11" s="1"/>
  <c r="H30" i="7"/>
  <c r="H29" i="7"/>
  <c r="E47" i="7" s="1"/>
  <c r="AB24" i="7"/>
  <c r="AB22" i="7"/>
  <c r="AB20" i="7"/>
  <c r="AB14" i="7"/>
  <c r="AB23" i="7"/>
  <c r="AB21" i="7"/>
  <c r="AB16" i="7"/>
  <c r="AB25" i="7"/>
  <c r="AB18" i="7"/>
  <c r="AB19" i="7"/>
  <c r="AB15" i="7"/>
  <c r="AB17" i="7"/>
  <c r="AB13" i="7"/>
  <c r="AB12" i="7"/>
  <c r="AB23" i="12" l="1"/>
  <c r="AA22" i="12"/>
  <c r="AH22" i="12" s="1"/>
  <c r="E48" i="7"/>
  <c r="E49" i="7" s="1"/>
  <c r="E51" i="7" s="1"/>
  <c r="E50" i="7"/>
  <c r="AB29" i="7"/>
  <c r="D47" i="7" s="1"/>
  <c r="AB30" i="7"/>
  <c r="AB31" i="7"/>
  <c r="B7" i="11" s="1"/>
  <c r="AB24" i="12" l="1"/>
  <c r="AA23" i="12"/>
  <c r="AH23" i="12" s="1"/>
  <c r="B61" i="7"/>
  <c r="B62" i="7"/>
  <c r="E53" i="7"/>
  <c r="D53" i="7"/>
  <c r="D48" i="7"/>
  <c r="D49" i="7" s="1"/>
  <c r="D51" i="7" s="1"/>
  <c r="D50" i="7"/>
  <c r="AB25" i="12" l="1"/>
  <c r="AA25" i="12" s="1"/>
  <c r="AH25" i="12" s="1"/>
  <c r="AA24" i="12"/>
  <c r="AH24" i="12" s="1"/>
  <c r="E54" i="7"/>
  <c r="B11" i="11" s="1"/>
  <c r="D54" i="7"/>
  <c r="B10" i="11" s="1"/>
  <c r="B65" i="7"/>
  <c r="AH29" i="12" l="1"/>
  <c r="AH28" i="12"/>
  <c r="D46" i="12" s="1"/>
  <c r="AH30" i="12"/>
  <c r="J7" i="11" s="1"/>
  <c r="V30" i="12"/>
  <c r="J6" i="11" s="1"/>
  <c r="V29" i="12"/>
  <c r="V28" i="12"/>
  <c r="C46" i="12" s="1"/>
  <c r="D49" i="12" l="1"/>
  <c r="D47" i="12"/>
  <c r="D55" i="12" s="1"/>
  <c r="C47" i="12"/>
  <c r="C49" i="12"/>
  <c r="C55" i="12" l="1"/>
  <c r="C48" i="12"/>
  <c r="C50" i="12" s="1"/>
  <c r="D48" i="12"/>
  <c r="D50" i="12" s="1"/>
  <c r="R11" i="9" l="1"/>
  <c r="R11" i="8"/>
  <c r="R14" i="9"/>
  <c r="R14" i="8"/>
  <c r="R10" i="9"/>
  <c r="R10" i="8"/>
  <c r="R12" i="9"/>
  <c r="R12" i="8"/>
  <c r="R13" i="9"/>
  <c r="R13" i="8"/>
  <c r="R30" i="8" l="1"/>
  <c r="R29" i="8"/>
  <c r="C47" i="8" s="1"/>
  <c r="R31" i="8"/>
  <c r="C6" i="11" s="1"/>
  <c r="R30" i="9"/>
  <c r="R29" i="9"/>
  <c r="C47" i="9" s="1"/>
  <c r="C50" i="9" s="1"/>
  <c r="R31" i="9"/>
  <c r="D6" i="11" s="1"/>
  <c r="C48" i="9" l="1"/>
  <c r="C49" i="9" s="1"/>
  <c r="C51" i="9" s="1"/>
  <c r="C48" i="8"/>
  <c r="C49" i="8" s="1"/>
  <c r="C51" i="8" s="1"/>
  <c r="C50" i="8"/>
  <c r="H28" i="12" l="1"/>
  <c r="E46" i="12" s="1"/>
  <c r="H29" i="12"/>
  <c r="H30" i="12"/>
  <c r="J8" i="11" s="1"/>
  <c r="E47" i="12" l="1"/>
  <c r="E55" i="12" s="1"/>
  <c r="E49" i="12"/>
  <c r="E48" i="12" l="1"/>
  <c r="E50" i="12" s="1"/>
  <c r="D52" i="12" l="1"/>
  <c r="B61" i="12"/>
  <c r="E52" i="12"/>
  <c r="B60" i="12"/>
  <c r="B64" i="12" s="1"/>
  <c r="I13" i="10"/>
  <c r="I14" i="10"/>
  <c r="I12" i="10"/>
  <c r="E53" i="12" l="1"/>
  <c r="J11" i="11" s="1"/>
  <c r="D53" i="12"/>
  <c r="J10" i="11" s="1"/>
  <c r="I15" i="10"/>
  <c r="I16" i="10"/>
  <c r="I17" i="10" l="1"/>
  <c r="I18" i="10" l="1"/>
  <c r="I19" i="10" l="1"/>
  <c r="I20" i="10" l="1"/>
  <c r="I21" i="10" l="1"/>
  <c r="I22" i="10" l="1"/>
  <c r="I23" i="10" l="1"/>
  <c r="I24" i="10" l="1"/>
  <c r="I26" i="10" l="1"/>
  <c r="I25" i="10"/>
  <c r="I30" i="10" l="1"/>
  <c r="I31" i="10"/>
  <c r="E8" i="11" s="1"/>
  <c r="I29" i="10"/>
  <c r="E46" i="10" s="1"/>
  <c r="E49" i="10" l="1"/>
  <c r="E47" i="10"/>
  <c r="E48" i="10" s="1"/>
  <c r="E50" i="10" s="1"/>
  <c r="D42" i="10"/>
  <c r="U13" i="10"/>
  <c r="AE12" i="10"/>
  <c r="U12" i="10"/>
  <c r="U14" i="10" l="1"/>
  <c r="AE14" i="10"/>
  <c r="U15" i="10"/>
  <c r="AE13" i="10"/>
  <c r="U16" i="10" l="1"/>
  <c r="AE15" i="10"/>
  <c r="U17" i="10" l="1"/>
  <c r="AE16" i="10"/>
  <c r="AE17" i="10" l="1"/>
  <c r="U18" i="10"/>
  <c r="U19" i="10" l="1"/>
  <c r="AE18" i="10"/>
  <c r="AE19" i="10" l="1"/>
  <c r="U20" i="10"/>
  <c r="AE20" i="10" l="1"/>
  <c r="U21" i="10"/>
  <c r="AE21" i="10" l="1"/>
  <c r="U22" i="10"/>
  <c r="AE22" i="10" l="1"/>
  <c r="U23" i="10"/>
  <c r="U24" i="10" l="1"/>
  <c r="AE23" i="10"/>
  <c r="AE24" i="10" l="1"/>
  <c r="U25" i="10"/>
  <c r="U26" i="10"/>
  <c r="U31" i="10" l="1"/>
  <c r="E6" i="11" s="1"/>
  <c r="U29" i="10"/>
  <c r="C46" i="10" s="1"/>
  <c r="U30" i="10"/>
  <c r="AE25" i="10"/>
  <c r="AE26" i="10"/>
  <c r="AE30" i="10" l="1"/>
  <c r="AE29" i="10"/>
  <c r="D46" i="10" s="1"/>
  <c r="AE31" i="10"/>
  <c r="E7" i="11" s="1"/>
  <c r="C47" i="10"/>
  <c r="C49" i="10"/>
  <c r="D52" i="10" l="1"/>
  <c r="D53" i="10" s="1"/>
  <c r="E10" i="11" s="1"/>
  <c r="C48" i="10"/>
  <c r="E52" i="10"/>
  <c r="E53" i="10" s="1"/>
  <c r="E11" i="11" s="1"/>
  <c r="B60" i="10"/>
  <c r="C50" i="10"/>
  <c r="B61" i="10"/>
  <c r="D47" i="10"/>
  <c r="D48" i="10" s="1"/>
  <c r="D50" i="10" s="1"/>
  <c r="D49" i="10"/>
  <c r="B64" i="10" l="1"/>
  <c r="H16" i="9" l="1"/>
  <c r="H13" i="8"/>
  <c r="H13" i="9"/>
  <c r="H17" i="9"/>
  <c r="H15" i="9"/>
  <c r="H19" i="8"/>
  <c r="H14" i="8"/>
  <c r="H18" i="9"/>
  <c r="H12" i="9"/>
  <c r="H7" i="8" l="1"/>
  <c r="H8" i="8"/>
  <c r="H10" i="8"/>
  <c r="H11" i="9"/>
  <c r="H9" i="8"/>
  <c r="H12" i="8"/>
  <c r="H10" i="9"/>
  <c r="H15" i="8"/>
  <c r="H16" i="8"/>
  <c r="H14" i="9"/>
  <c r="H19" i="9"/>
  <c r="H17" i="8"/>
  <c r="H18" i="8"/>
  <c r="I7" i="8" l="1"/>
  <c r="I8" i="8" s="1"/>
  <c r="I9" i="8" s="1"/>
  <c r="I10" i="8" s="1"/>
  <c r="H11" i="8"/>
  <c r="I29" i="8" s="1"/>
  <c r="H30" i="9"/>
  <c r="H29" i="9"/>
  <c r="E47" i="9" s="1"/>
  <c r="E50" i="9" s="1"/>
  <c r="H31" i="9"/>
  <c r="D8" i="11" s="1"/>
  <c r="I31" i="8" l="1"/>
  <c r="C8" i="11" s="1"/>
  <c r="I30" i="8"/>
  <c r="I11" i="8"/>
  <c r="I12" i="8" s="1"/>
  <c r="I13" i="8" s="1"/>
  <c r="I14" i="8" s="1"/>
  <c r="I15" i="8" s="1"/>
  <c r="I16" i="8" s="1"/>
  <c r="I17" i="8" s="1"/>
  <c r="I18" i="8" s="1"/>
  <c r="I19" i="8" s="1"/>
  <c r="I20" i="8" s="1"/>
  <c r="I21" i="8" s="1"/>
  <c r="I22" i="8" s="1"/>
  <c r="I23" i="8" s="1"/>
  <c r="I24" i="8" s="1"/>
  <c r="I25" i="8" s="1"/>
  <c r="E47" i="8"/>
  <c r="E50" i="8" s="1"/>
  <c r="E48" i="9"/>
  <c r="E49" i="9" s="1"/>
  <c r="B62" i="9" l="1"/>
  <c r="E51" i="9"/>
  <c r="E48" i="8"/>
  <c r="E49" i="8" s="1"/>
  <c r="E51" i="8" s="1"/>
  <c r="E53" i="9"/>
  <c r="E54" i="9" s="1"/>
  <c r="D11" i="11" s="1"/>
  <c r="B61" i="9"/>
  <c r="B65" i="9" s="1"/>
  <c r="D53" i="9"/>
  <c r="D54" i="9" s="1"/>
  <c r="D10" i="11" s="1"/>
  <c r="E53" i="8" l="1"/>
  <c r="E54" i="8" s="1"/>
  <c r="C11" i="11" s="1"/>
  <c r="D53" i="8"/>
  <c r="D54" i="8" s="1"/>
  <c r="C10" i="11" s="1"/>
  <c r="B61" i="8"/>
  <c r="B65" i="8" s="1"/>
  <c r="B62" i="8"/>
</calcChain>
</file>

<file path=xl/comments1.xml><?xml version="1.0" encoding="utf-8"?>
<comments xmlns="http://schemas.openxmlformats.org/spreadsheetml/2006/main">
  <authors>
    <author>Podbury, Troy</author>
    <author>Ralph</author>
    <author>RL</author>
  </authors>
  <commentList>
    <comment ref="A4" authorId="0">
      <text>
        <r>
          <rPr>
            <sz val="8"/>
            <color indexed="81"/>
            <rFont val="Tahoma"/>
            <family val="2"/>
          </rPr>
          <t>Including the cost of the smart meter, installation, and establishing the communication, network and customer support systems to operate the smart meters.</t>
        </r>
      </text>
    </comment>
    <comment ref="B5" authorId="1">
      <text>
        <r>
          <rPr>
            <b/>
            <sz val="9"/>
            <color indexed="81"/>
            <rFont val="Tahoma"/>
            <family val="2"/>
          </rPr>
          <t>There are potential savings from the bulk purchase and installation of a large number of smart meters or direct load control devices. As such, this lower cost estimates is more likely to be achieved from a wider rollout of demand management.</t>
        </r>
        <r>
          <rPr>
            <sz val="9"/>
            <color indexed="81"/>
            <rFont val="Tahoma"/>
            <family val="2"/>
          </rPr>
          <t xml:space="preserve">
</t>
        </r>
      </text>
    </comment>
    <comment ref="F7" authorId="0">
      <text>
        <r>
          <rPr>
            <sz val="8"/>
            <color indexed="81"/>
            <rFont val="Tahoma"/>
            <family val="2"/>
          </rPr>
          <t>Presented at total cost, with breakdown by years graphically</t>
        </r>
      </text>
    </comment>
    <comment ref="A26" authorId="0">
      <text>
        <r>
          <rPr>
            <sz val="8"/>
            <color indexed="81"/>
            <rFont val="Tahoma"/>
            <family val="2"/>
          </rPr>
          <t xml:space="preserve">
Includes cost of built in load control component, set up in the home, contribution to the cost of infrastructure for DLC signals</t>
        </r>
      </text>
    </comment>
    <comment ref="A28" authorId="2">
      <text>
        <r>
          <rPr>
            <b/>
            <sz val="9"/>
            <color indexed="81"/>
            <rFont val="Tahoma"/>
            <family val="2"/>
          </rPr>
          <t>Initially the Commission used a figure of $1500 from EnergyAustralia and Transgrid 2009. However, this number was based on trials with high-cost retrofitting, rather than commercially-oriented rollouts. We have used a high estimate from discussions wirth a DNSP actually rollling out the technologies of $380 as the max.</t>
        </r>
      </text>
    </comment>
    <comment ref="B63" authorId="1">
      <text>
        <r>
          <rPr>
            <b/>
            <sz val="9"/>
            <color indexed="81"/>
            <rFont val="Tahoma"/>
            <family val="2"/>
          </rPr>
          <t>The SA trials found that among 12,000 commercial and household residences, they were able to recruit 2392 airconditioners for the trial - with an implicit participation rate of 20% (p. 68). However, the trial required considerable marketing. 
In another trial, a group of 1100 potential participants were chosen on the basis of their network connection type, tariff assigned and summer consumption. The 1100 is therefore only a sample of the overall population - and had features uncharacteristic of other households. Of the 1100 households, 142 were ultimately recruited after a 'concerted recruitment campaign' or 12.9% (p. 71). The real participation was less than this once the fact that it is recognised that 1100 is less than the underlying population.
Source: ETSA Utilities 2009, Annual Demand Management Compliance Report.</t>
        </r>
        <r>
          <rPr>
            <sz val="9"/>
            <color indexed="81"/>
            <rFont val="Tahoma"/>
            <family val="2"/>
          </rPr>
          <t xml:space="preserve">
</t>
        </r>
      </text>
    </comment>
    <comment ref="B69" authorId="1">
      <text>
        <r>
          <rPr>
            <b/>
            <sz val="9"/>
            <color indexed="81"/>
            <rFont val="Tahoma"/>
            <family val="2"/>
          </rPr>
          <t xml:space="preserve">Commission estimates based on consultations and assorted sources = (Total estimated NEM peak demand less Victoria ) times the share of total accounted for by households. </t>
        </r>
        <r>
          <rPr>
            <sz val="9"/>
            <color indexed="81"/>
            <rFont val="Tahoma"/>
            <family val="2"/>
          </rPr>
          <t xml:space="preserve">
A full modelling exercise would recognise that NEM peak demand will be likely to grow over time, and estimate the demand response in each  year given the peak demand forecast for that year. An alternative is to estimate the long run maximum demand forecast and the demand response given pricing (or other policy instruments) at that time. Then the outcomes for previous years can be some share of that long run. AEMO has forecasts up to 2021 - and this has been taken as the long-run (though in fact, peak demand will likely rise over subsequent years given population growth alone). The medium figure for the medium scenario is just over 42000 MW across the NEM of which Victoria accounts for just over 11,000 MW. These figures have been used as the available peak demand in this modelling.  (Source: AEMO 2012,  NATIONAL ELECTRICITY FORECASTING REPORT For the National Electricity Market (NEM).
Since the PC's estimates relate to households only, an estimate of their contribution to peak demand is required.  As noted in the Commonwealth’s Draft Energy White Paper, “currently, there is poor national information on the sectoral contribution to peak demand, although analysis is available for some parts of the country” . In part, this is because of the difficulty of measuring consumption at peak times by customer classes that lack time-specific meters. 
A dated estimate from a peak summer day in South Australia in 2001 indicates that households made up somewhat under half of the peak, small and medium business 10-20 per cent, with around 30 per cent from large businesses, and 8 per cent from transmission losses (Charles River Associates 2004, Peak demand on the ETSA Utilities system, February, www.efa.com.au/Library/PeakDemandonETSASystem.pdf, accessed 18 September 2012). The authors caution against treating these estimates as more than indicative, but the figures have been widely cited. 
A more recent estimate for Energex’s network covering south-east Queensland on the day of higher consumption 2009 suggests that residential customers make up closer to 35-40 per cent of the peak, with small to medium enterprises comprising roughly 25-30 per cent and commercial and industrial customers another 35 per cent.
Networks in South Australia and Queensland hUSave also estimated how much of the load on peak days recorded by accumulation meters drawn by residential and non-residential customers (NERA, 2008 Cost benefit analysis of smart metering and direct load control, Work Stream 4: Consumer Impacts Phase 2 Consultation Report. Report to the Ministerial Council on Energy Smart Meter Working Group). These figures show the residential customers represent a majority of between 51-82 per cent of accumulation metered load on peak days, and 52-70 per cent on non-peak days.
The low estimate of available peak demand is based on a lower household share of 35% cf the high case of 45%.
</t>
        </r>
      </text>
    </comment>
  </commentList>
</comments>
</file>

<file path=xl/comments2.xml><?xml version="1.0" encoding="utf-8"?>
<comments xmlns="http://schemas.openxmlformats.org/spreadsheetml/2006/main">
  <authors>
    <author>Ralph</author>
  </authors>
  <commentList>
    <comment ref="B3" authorId="0">
      <text>
        <r>
          <rPr>
            <b/>
            <sz val="9"/>
            <color indexed="81"/>
            <rFont val="Tahoma"/>
            <family val="2"/>
          </rPr>
          <t>The results are normalised by setting the number of machines in any given region to 10,000 meters (ie the absolute dollar values represent the outcomes per 10,000 households. As such, the normalisation does not affect benefits per household or the benefit cost ratio. 
If a region is larger, its absolute benefits can be estimated by multiplying the results for 10,000 people by the ratio of the actual population to 10000 (or by entering the relevant number of smart meters in this cell).</t>
        </r>
        <r>
          <rPr>
            <sz val="9"/>
            <color indexed="81"/>
            <rFont val="Tahoma"/>
            <family val="2"/>
          </rPr>
          <t xml:space="preserve">
</t>
        </r>
      </text>
    </comment>
    <comment ref="B4" authorId="0">
      <text>
        <r>
          <rPr>
            <b/>
            <sz val="9"/>
            <color indexed="81"/>
            <rFont val="Tahoma"/>
            <family val="2"/>
          </rPr>
          <t xml:space="preserve">Assumed that the sequential rollouts choose areas with peakier customers since these will produce greater dividends. Hence the average shown in the NEM is increased by 50%
</t>
        </r>
        <r>
          <rPr>
            <sz val="9"/>
            <color indexed="81"/>
            <rFont val="Tahoma"/>
            <family val="2"/>
          </rPr>
          <t xml:space="preserve">
</t>
        </r>
      </text>
    </comment>
    <comment ref="C28" authorId="0">
      <text>
        <r>
          <rPr>
            <b/>
            <sz val="9"/>
            <color indexed="81"/>
            <rFont val="Tahoma"/>
            <family val="2"/>
          </rPr>
          <t>% max demand management response</t>
        </r>
        <r>
          <rPr>
            <sz val="9"/>
            <color indexed="81"/>
            <rFont val="Tahoma"/>
            <family val="2"/>
          </rPr>
          <t xml:space="preserve">
</t>
        </r>
      </text>
    </comment>
  </commentList>
</comments>
</file>

<file path=xl/comments3.xml><?xml version="1.0" encoding="utf-8"?>
<comments xmlns="http://schemas.openxmlformats.org/spreadsheetml/2006/main">
  <authors>
    <author>Ralph</author>
  </authors>
  <commentList>
    <comment ref="E6" authorId="0">
      <text>
        <r>
          <rPr>
            <b/>
            <sz val="9"/>
            <color indexed="81"/>
            <rFont val="Tahoma"/>
            <family val="2"/>
          </rPr>
          <t xml:space="preserve">No operational savings in first two years as need sufficient penetration in any given area to realise benefits on the operational side
</t>
        </r>
        <r>
          <rPr>
            <sz val="9"/>
            <color indexed="81"/>
            <rFont val="Tahoma"/>
            <family val="2"/>
          </rPr>
          <t xml:space="preserve">
</t>
        </r>
      </text>
    </comment>
  </commentList>
</comments>
</file>

<file path=xl/comments4.xml><?xml version="1.0" encoding="utf-8"?>
<comments xmlns="http://schemas.openxmlformats.org/spreadsheetml/2006/main">
  <authors>
    <author>Ralph</author>
    <author>RL</author>
  </authors>
  <commentList>
    <comment ref="B3" authorId="0">
      <text>
        <r>
          <rPr>
            <b/>
            <sz val="9"/>
            <color indexed="81"/>
            <rFont val="Tahoma"/>
            <family val="2"/>
          </rPr>
          <t>This is the high estimates of the number of DLC devices. It is based on DLC participation rates and the relevant number of households. The mnemonic says meters - but this is because this corresponds to the relevant number of households. The estimate of participation rates takes account of the fact that there maybe more than one DLC per household (eg more than one airconditioner or an airconditioner and a pool pump).</t>
        </r>
        <r>
          <rPr>
            <sz val="9"/>
            <color indexed="81"/>
            <rFont val="Tahoma"/>
            <family val="2"/>
          </rPr>
          <t xml:space="preserve">
</t>
        </r>
      </text>
    </comment>
    <comment ref="B4" authorId="0">
      <text>
        <r>
          <rPr>
            <b/>
            <sz val="9"/>
            <color indexed="81"/>
            <rFont val="Tahoma"/>
            <family val="2"/>
          </rPr>
          <t xml:space="preserve">This is the available peak demand that might respond to DLC initiatives. It is equal to the total available peak demand (outside Victoria), times the participation rate in the DLC program,  times a factor that represents the likelihood that participants will have higher levels of peak demand than non-participants (eg owners of air conditioners).
</t>
        </r>
        <r>
          <rPr>
            <sz val="9"/>
            <color indexed="81"/>
            <rFont val="Tahoma"/>
            <family val="2"/>
          </rPr>
          <t xml:space="preserve">
</t>
        </r>
      </text>
    </comment>
    <comment ref="J10" authorId="0">
      <text>
        <r>
          <rPr>
            <b/>
            <sz val="9"/>
            <color indexed="81"/>
            <rFont val="Tahoma"/>
            <family val="2"/>
          </rPr>
          <t>It takes time to recruit people into the DLC scheme. This takes account of the variations over time to reach the highest participation rate, and then the gradual loss of interest by some people in the scheme</t>
        </r>
        <r>
          <rPr>
            <sz val="9"/>
            <color indexed="81"/>
            <rFont val="Tahoma"/>
            <family val="2"/>
          </rPr>
          <t xml:space="preserve">
</t>
        </r>
      </text>
    </comment>
    <comment ref="D11" authorId="0">
      <text>
        <r>
          <rPr>
            <b/>
            <sz val="9"/>
            <color indexed="81"/>
            <rFont val="Tahoma"/>
            <family val="2"/>
          </rPr>
          <t xml:space="preserve">Install DLC device plus 
Incentive payments last for 3 years
</t>
        </r>
        <r>
          <rPr>
            <sz val="9"/>
            <color indexed="81"/>
            <rFont val="Tahoma"/>
            <family val="2"/>
          </rPr>
          <t xml:space="preserve">
</t>
        </r>
      </text>
    </comment>
    <comment ref="F11" authorId="1">
      <text>
        <r>
          <rPr>
            <b/>
            <sz val="9"/>
            <color indexed="81"/>
            <rFont val="Tahoma"/>
            <family val="2"/>
          </rPr>
          <t>The reason non Vic meter numbers is relevant is that this is the relevant household number, not anything to do with smart meter numbers</t>
        </r>
        <r>
          <rPr>
            <sz val="9"/>
            <color indexed="81"/>
            <rFont val="Tahoma"/>
            <family val="2"/>
          </rPr>
          <t xml:space="preserve">
</t>
        </r>
      </text>
    </comment>
    <comment ref="P11" authorId="0">
      <text>
        <r>
          <rPr>
            <b/>
            <sz val="9"/>
            <color indexed="81"/>
            <rFont val="Tahoma"/>
            <family val="2"/>
          </rPr>
          <t xml:space="preserve">Install DLC device plus 
Incentive payments last for 3 years
</t>
        </r>
        <r>
          <rPr>
            <sz val="9"/>
            <color indexed="81"/>
            <rFont val="Tahoma"/>
            <family val="2"/>
          </rPr>
          <t xml:space="preserve">
</t>
        </r>
      </text>
    </comment>
    <comment ref="Z11" authorId="0">
      <text>
        <r>
          <rPr>
            <b/>
            <sz val="9"/>
            <color indexed="81"/>
            <rFont val="Tahoma"/>
            <family val="2"/>
          </rPr>
          <t xml:space="preserve">Install DLC device plus 
Incentive payments last for 3 years
</t>
        </r>
        <r>
          <rPr>
            <sz val="9"/>
            <color indexed="81"/>
            <rFont val="Tahoma"/>
            <family val="2"/>
          </rPr>
          <t xml:space="preserve">
</t>
        </r>
      </text>
    </comment>
  </commentList>
</comments>
</file>

<file path=xl/comments5.xml><?xml version="1.0" encoding="utf-8"?>
<comments xmlns="http://schemas.openxmlformats.org/spreadsheetml/2006/main">
  <authors>
    <author>RL</author>
  </authors>
  <commentList>
    <comment ref="C11" authorId="0">
      <text>
        <r>
          <rPr>
            <b/>
            <sz val="9"/>
            <color indexed="81"/>
            <rFont val="Tahoma"/>
            <family val="2"/>
          </rPr>
          <t>If the PV of 
network and generation savings data are  from Queensland Energy Management Plan</t>
        </r>
        <r>
          <rPr>
            <sz val="9"/>
            <color indexed="81"/>
            <rFont val="Tahoma"/>
            <family val="2"/>
          </rPr>
          <t xml:space="preserve">
</t>
        </r>
      </text>
    </comment>
  </commentList>
</comments>
</file>

<file path=xl/comments6.xml><?xml version="1.0" encoding="utf-8"?>
<comments xmlns="http://schemas.openxmlformats.org/spreadsheetml/2006/main">
  <authors>
    <author>RL</author>
  </authors>
  <commentList>
    <comment ref="A61" authorId="0">
      <text>
        <r>
          <rPr>
            <b/>
            <sz val="9"/>
            <color indexed="81"/>
            <rFont val="Tahoma"/>
            <family val="2"/>
          </rPr>
          <t>Personal communication from Ausgrid (note varies from AEMC sub). Ausgrid thought that the most likely figure was  $1500</t>
        </r>
        <r>
          <rPr>
            <sz val="9"/>
            <color indexed="81"/>
            <rFont val="Tahoma"/>
            <family val="2"/>
          </rPr>
          <t xml:space="preserve">
</t>
        </r>
      </text>
    </comment>
  </commentList>
</comments>
</file>

<file path=xl/comments7.xml><?xml version="1.0" encoding="utf-8"?>
<comments xmlns="http://schemas.openxmlformats.org/spreadsheetml/2006/main">
  <authors>
    <author>Ralph</author>
  </authors>
  <commentList>
    <comment ref="B13" authorId="0">
      <text>
        <r>
          <rPr>
            <b/>
            <sz val="9"/>
            <color indexed="81"/>
            <rFont val="Tahoma"/>
            <family val="2"/>
          </rPr>
          <t>Given the date, these numbers have not been used, but still are within the range used in our analysis. Note that if inflation for the relative asset costs was 4% pa, the $240 would be $270 - which is in the middle of the range finally used</t>
        </r>
        <r>
          <rPr>
            <sz val="9"/>
            <color indexed="81"/>
            <rFont val="Tahoma"/>
            <family val="2"/>
          </rPr>
          <t xml:space="preserve">
</t>
        </r>
      </text>
    </comment>
    <comment ref="B21" authorId="0">
      <text>
        <r>
          <rPr>
            <b/>
            <sz val="9"/>
            <color indexed="81"/>
            <rFont val="Tahoma"/>
            <family val="2"/>
          </rPr>
          <t xml:space="preserve">So use 0.75 as share of network capacity LRMC accounted for by distribution
</t>
        </r>
        <r>
          <rPr>
            <sz val="9"/>
            <color indexed="81"/>
            <rFont val="Tahoma"/>
            <family val="2"/>
          </rPr>
          <t xml:space="preserve">
</t>
        </r>
      </text>
    </comment>
    <comment ref="B58" authorId="0">
      <text>
        <r>
          <rPr>
            <b/>
            <sz val="9"/>
            <color indexed="81"/>
            <rFont val="Tahoma"/>
            <family val="2"/>
          </rPr>
          <t xml:space="preserve">Uses 25% and 75% percentiles and rounds down for conservatism
</t>
        </r>
      </text>
    </comment>
    <comment ref="C138" authorId="0">
      <text>
        <r>
          <rPr>
            <b/>
            <sz val="9"/>
            <color indexed="81"/>
            <rFont val="Tahoma"/>
            <family val="2"/>
          </rPr>
          <t xml:space="preserve">70% correction factor acknowledges non-capital costs
</t>
        </r>
        <r>
          <rPr>
            <sz val="9"/>
            <color indexed="81"/>
            <rFont val="Tahoma"/>
            <family val="2"/>
          </rPr>
          <t xml:space="preserve">
</t>
        </r>
      </text>
    </comment>
  </commentList>
</comments>
</file>

<file path=xl/comments8.xml><?xml version="1.0" encoding="utf-8"?>
<comments xmlns="http://schemas.openxmlformats.org/spreadsheetml/2006/main">
  <authors>
    <author>Ralph</author>
  </authors>
  <commentList>
    <comment ref="A1" authorId="0">
      <text>
        <r>
          <rPr>
            <b/>
            <sz val="9"/>
            <color indexed="81"/>
            <rFont val="Tahoma"/>
            <family val="2"/>
          </rPr>
          <t xml:space="preserve">This set of calculations are used as the inputs to the more realistic case where the rollout takes several years - which from a practical perspective would be required.
</t>
        </r>
        <r>
          <rPr>
            <sz val="9"/>
            <color indexed="81"/>
            <rFont val="Tahoma"/>
            <family val="2"/>
          </rPr>
          <t xml:space="preserve">
</t>
        </r>
      </text>
    </comment>
    <comment ref="E3" authorId="0">
      <text>
        <r>
          <rPr>
            <b/>
            <sz val="9"/>
            <color indexed="81"/>
            <rFont val="Tahoma"/>
            <family val="2"/>
          </rPr>
          <t xml:space="preserve">Source: EMCa (2008)
Note that there are 5,370,000 households in the NEM, though these may not correspond 1:1 for meters, as other establishments also have SMs. (Equal to households in the NEM excluding Victoria  (ABS Household expenditure Survey 2009-10, Cat.No. 6530.0, p. 57)
</t>
        </r>
        <r>
          <rPr>
            <sz val="9"/>
            <color indexed="81"/>
            <rFont val="Tahoma"/>
            <family val="2"/>
          </rPr>
          <t xml:space="preserve">
</t>
        </r>
      </text>
    </comment>
    <comment ref="B4" authorId="0">
      <text>
        <r>
          <rPr>
            <b/>
            <sz val="9"/>
            <color indexed="81"/>
            <rFont val="Tahoma"/>
            <family val="2"/>
          </rPr>
          <t>Commission estimates based on consultations and assorted sources = (Total estimated NEM peak demand less Victoria ) times the share of total accounted for by households</t>
        </r>
        <r>
          <rPr>
            <sz val="9"/>
            <color indexed="81"/>
            <rFont val="Tahoma"/>
            <family val="2"/>
          </rPr>
          <t xml:space="preserve">
</t>
        </r>
      </text>
    </comment>
    <comment ref="B5" authorId="0">
      <text>
        <r>
          <rPr>
            <b/>
            <sz val="9"/>
            <color indexed="81"/>
            <rFont val="Tahoma"/>
            <family val="2"/>
          </rPr>
          <t xml:space="preserve">As per the SP Ausnet strategic pricing trial
</t>
        </r>
        <r>
          <rPr>
            <sz val="9"/>
            <color indexed="81"/>
            <rFont val="Tahoma"/>
            <family val="2"/>
          </rPr>
          <t xml:space="preserve">
</t>
        </r>
      </text>
    </comment>
    <comment ref="A11" authorId="0">
      <text>
        <r>
          <rPr>
            <b/>
            <sz val="9"/>
            <color indexed="81"/>
            <rFont val="Tahoma"/>
            <family val="2"/>
          </rPr>
          <t xml:space="preserve">This period relates to the outcomes occurring in the first year of the rollout (ie between t=0 and t=1)
</t>
        </r>
        <r>
          <rPr>
            <sz val="9"/>
            <color indexed="81"/>
            <rFont val="Tahoma"/>
            <family val="2"/>
          </rPr>
          <t xml:space="preserve">
</t>
        </r>
      </text>
    </comment>
    <comment ref="A25" authorId="0">
      <text>
        <r>
          <rPr>
            <b/>
            <sz val="9"/>
            <color indexed="81"/>
            <rFont val="Tahoma"/>
            <family val="2"/>
          </rPr>
          <t>Outcomes relate to those occurring between years 14 and 15 (by which time the smart meters have fully depreciated).</t>
        </r>
        <r>
          <rPr>
            <sz val="9"/>
            <color indexed="81"/>
            <rFont val="Tahoma"/>
            <family val="2"/>
          </rPr>
          <t xml:space="preserve">
</t>
        </r>
      </text>
    </comment>
  </commentList>
</comments>
</file>

<file path=xl/comments9.xml><?xml version="1.0" encoding="utf-8"?>
<comments xmlns="http://schemas.openxmlformats.org/spreadsheetml/2006/main">
  <authors>
    <author>RL</author>
    <author>Ralph</author>
  </authors>
  <commentList>
    <comment ref="Q10" authorId="0">
      <text>
        <r>
          <rPr>
            <b/>
            <sz val="9"/>
            <color indexed="81"/>
            <rFont val="Tahoma"/>
            <family val="2"/>
          </rPr>
          <t>The model has a LRMC saving on DM in year 1 PLUS the additional value of one year deferral using the SRMC. It might appear that this rpresents double counting since the model assigns a full LRMC saving (from transmission, distribution and generation) already. It may seem that the LRMC saving on distribution should be excluded for the year over which the deferral occurs. However, the point of the SRMC calculation is that there is an additional value of deferring a lumpy project. The DM that could achieve this could be very modest. So in highly constrained areas,  DM manages to defer some 'not very lumpy' invesments in the distribuition network, but also avoids - for just one period - a large project. This model is particularly speculative as it the savings will depend o0n the nature of the constraints and locality. But across many constrained regions, the model may be a reasonable assumption.</t>
        </r>
      </text>
    </comment>
    <comment ref="B60" authorId="1">
      <text>
        <r>
          <rPr>
            <b/>
            <sz val="9"/>
            <color indexed="81"/>
            <rFont val="Tahoma"/>
            <family val="2"/>
          </rPr>
          <t>Returns the inverse of the beta cumulative probability density function (BETA.DIST).</t>
        </r>
        <r>
          <rPr>
            <sz val="9"/>
            <color indexed="81"/>
            <rFont val="Tahoma"/>
            <family val="2"/>
          </rPr>
          <t xml:space="preserve">
The form of the function is Beta(prob, alpha,beta, low value, high value). If alpha=beta =2 then the beta probability distribution function is symmetric.  If low was 0 and high was 1, then beta.inv(0.5,2,2,0,1) would be 0.5. If prob was set at 0.75 then beta.inv would be 0.67 (ie the integral of the pdf from 0 to 0.75 is 67%).</t>
        </r>
      </text>
    </comment>
  </commentList>
</comments>
</file>

<file path=xl/sharedStrings.xml><?xml version="1.0" encoding="utf-8"?>
<sst xmlns="http://schemas.openxmlformats.org/spreadsheetml/2006/main" count="1145" uniqueCount="427">
  <si>
    <t>Year</t>
  </si>
  <si>
    <t># meters</t>
  </si>
  <si>
    <t>Total peak demand from these households outside Victoria</t>
  </si>
  <si>
    <t>Discount factor</t>
  </si>
  <si>
    <t>Transition costs of meters</t>
  </si>
  <si>
    <t>Discounted benefits</t>
  </si>
  <si>
    <t>Discounted costs</t>
  </si>
  <si>
    <t>Min</t>
  </si>
  <si>
    <t>Max</t>
  </si>
  <si>
    <t>DM Savings</t>
  </si>
  <si>
    <t>Operating costs</t>
  </si>
  <si>
    <t>Operating savings</t>
  </si>
  <si>
    <t>Net benefit</t>
  </si>
  <si>
    <t>Benefit-Cost Ratio</t>
  </si>
  <si>
    <t>Before-after price ratio</t>
  </si>
  <si>
    <t>Middle</t>
  </si>
  <si>
    <t>Phase in years</t>
  </si>
  <si>
    <t># DLC devices</t>
  </si>
  <si>
    <t>Low</t>
  </si>
  <si>
    <t>Mid</t>
  </si>
  <si>
    <t>High</t>
  </si>
  <si>
    <t>Benefit cost ratio</t>
  </si>
  <si>
    <t>Number of participation payments</t>
  </si>
  <si>
    <t>Discount rate (%)</t>
  </si>
  <si>
    <t>Lowest</t>
  </si>
  <si>
    <t>Highest</t>
  </si>
  <si>
    <t>Source of estimates</t>
  </si>
  <si>
    <t>Average of lowest and highest</t>
  </si>
  <si>
    <t>Average</t>
  </si>
  <si>
    <t>Wilkenfeld 2011 p.17</t>
  </si>
  <si>
    <t>Maximum demand reduction %</t>
  </si>
  <si>
    <t>Summary of benefit cost ratios for various scenarios</t>
  </si>
  <si>
    <t>Futura 2009</t>
  </si>
  <si>
    <t>Number of meters</t>
  </si>
  <si>
    <t>Cost of smart meters $ per meter</t>
  </si>
  <si>
    <t>Cost of IT update for smart meters $ per meter</t>
  </si>
  <si>
    <t>Annual opex cost for smart meters $ per meter</t>
  </si>
  <si>
    <t>Annual business efficiencies smart meters $ per meter</t>
  </si>
  <si>
    <t>Price ratio (after/before)</t>
  </si>
  <si>
    <t>Total peak demand from these households outside Victoria (MVA)</t>
  </si>
  <si>
    <t>Number of meters in NEM excluding Victoria</t>
  </si>
  <si>
    <t>As per the SP Ausnet strategic pricing trial</t>
  </si>
  <si>
    <t>Peak price demand elasticity (absolute value)</t>
  </si>
  <si>
    <t>After-before price ratio</t>
  </si>
  <si>
    <t>Units</t>
  </si>
  <si>
    <t>low</t>
  </si>
  <si>
    <t>mid-point</t>
  </si>
  <si>
    <t>high</t>
  </si>
  <si>
    <t>Smart meters</t>
  </si>
  <si>
    <t>number</t>
  </si>
  <si>
    <t>Relevant critical peak demand</t>
  </si>
  <si>
    <t>MWh</t>
  </si>
  <si>
    <t>Up front cost</t>
  </si>
  <si>
    <t>$ per appliance</t>
  </si>
  <si>
    <t>Refresh cost</t>
  </si>
  <si>
    <t>Cost profile</t>
  </si>
  <si>
    <t xml:space="preserve">Install costs all occur up front. IT refresh after 7 years.  </t>
  </si>
  <si>
    <t>Annual cost</t>
  </si>
  <si>
    <t>$ per appliance per year</t>
  </si>
  <si>
    <t>Value of demand management savings (network/generation)</t>
  </si>
  <si>
    <t>Maximum demand management response</t>
  </si>
  <si>
    <t>% of relevant critical peak demand</t>
  </si>
  <si>
    <t>Demand management savings profile</t>
  </si>
  <si>
    <t>No demand response in first year. Maximum demand response in year 7 and subsequently sustained. Linear increase between years 2 to 7..</t>
  </si>
  <si>
    <t>Discount rate</t>
  </si>
  <si>
    <t>per cent</t>
  </si>
  <si>
    <t>$ Million (npv)</t>
  </si>
  <si>
    <t>Net benefit per household</t>
  </si>
  <si>
    <t>$ (npv)</t>
  </si>
  <si>
    <t>ratio</t>
  </si>
  <si>
    <t>Direct load control devices</t>
  </si>
  <si>
    <t>Other DLC costs (operating)</t>
  </si>
  <si>
    <t>Cost of direct load control (mainly labour cost and installation of control devices)</t>
  </si>
  <si>
    <t>Based on Futura (2011)</t>
  </si>
  <si>
    <t>Participation in Direct load control (take up rates)</t>
  </si>
  <si>
    <t>Max demand management response</t>
  </si>
  <si>
    <t>Total peak demand from these households outside Victoria  mVA/year</t>
  </si>
  <si>
    <t>million</t>
  </si>
  <si>
    <t>Smart meters phased in over five years (1.24 million per year). Refresh of IT components 7 years after installation</t>
  </si>
  <si>
    <t>No demand management savings for first two years after rollout. Maximum savings achieved 15 years after rollout for each meter. Linear transition path from 2nd to 15th years.</t>
  </si>
  <si>
    <t>No demand management savings for first two years after rollout. Maximum savings achieved 15 years after rollout for each meter. Linear transition path from 2nd to 15th years</t>
  </si>
  <si>
    <t>Direct load control in the absence of smart meters</t>
  </si>
  <si>
    <t>Limited smart meter with critical peak demand management and one-off one year deferral of distribution network infrastructure</t>
  </si>
  <si>
    <t>Limited sequential rollout of smart meters with critical peak pricing</t>
  </si>
  <si>
    <t>National smart meter rollout (phased) with critical peak pricing</t>
  </si>
  <si>
    <t>Medium</t>
  </si>
  <si>
    <t>Note the 1.5 multiple reflects that a limited rollout would target regions with high peak to average demand</t>
  </si>
  <si>
    <t>Annuity in savings per household over 15 year period</t>
  </si>
  <si>
    <t>$</t>
  </si>
  <si>
    <t>Annuity</t>
  </si>
  <si>
    <t>Costs</t>
  </si>
  <si>
    <t>Benefits</t>
  </si>
  <si>
    <t>alpha</t>
  </si>
  <si>
    <t>beta</t>
  </si>
  <si>
    <t>Inverse beta 75% probability</t>
  </si>
  <si>
    <t>25 percentage points percentile</t>
  </si>
  <si>
    <t>75 percentage points percentile</t>
  </si>
  <si>
    <t>This is used to determine alpha such that it is the median between the high and low values</t>
  </si>
  <si>
    <t>25 and 75% percentiles NPV per household</t>
  </si>
  <si>
    <t>25 and 75% percentiles annuity per household (rounded to nearest 50)</t>
  </si>
  <si>
    <t>error from deviation of inverse beta from the median value of the net benefit per household (Use goal seek to set error to zero by changing alpha)</t>
  </si>
  <si>
    <t>kW A/C consumption max</t>
  </si>
  <si>
    <t>Discounted stream</t>
  </si>
  <si>
    <t>Final total real PV</t>
  </si>
  <si>
    <t>Assumptions</t>
  </si>
  <si>
    <t xml:space="preserve">10 year lifespan of air conditioner </t>
  </si>
  <si>
    <t>2kW A/C electricity consumption when running at full power</t>
  </si>
  <si>
    <t>8% discount from real DNSP WACC</t>
  </si>
  <si>
    <t>No trend in critical peak to average demand</t>
  </si>
  <si>
    <t>Transmission</t>
  </si>
  <si>
    <t>Generation</t>
  </si>
  <si>
    <t>% turned on at any peak time</t>
  </si>
  <si>
    <t>Swift (2005), (CRA, 2006)</t>
  </si>
  <si>
    <t>Summary</t>
  </si>
  <si>
    <t>A reasonable range of estimates drawing on trial results from Futura 2011 and adjusting for selection bias</t>
  </si>
  <si>
    <t>Inverse beta 50% probability</t>
  </si>
  <si>
    <t>National smart meter rollout (phased) with poorly targeted time of use tariffs only</t>
  </si>
  <si>
    <t>Standard discount rate used in evaluating projects (eg Harrison and in Oakley Greenwood AMI Benefits and Costs Report, August 2010)</t>
  </si>
  <si>
    <t>Discount rate for LRMC</t>
  </si>
  <si>
    <t>Date</t>
  </si>
  <si>
    <t>The value of avoided augmentation to meet peak demand has been valued as per the previous benefit between $130/kW per year and $240/kW per year p.73)</t>
  </si>
  <si>
    <t xml:space="preserve">The $240/kW per year figure has been developed up from more recent information from DBs and other sources (cf the $130 estimate - which we accordingly ignore). It comprises $120/kW per year for distribution and transmission augmentation, and up to $120/kW per year for generation augmentation cost. </t>
  </si>
  <si>
    <t>Using load factor of 0.85</t>
  </si>
  <si>
    <t>LRMC OCGT (generation) $129.2 - $155.9 /kW/pa (p. 22)</t>
  </si>
  <si>
    <t>Energex shares of investment savings (p. 19) $2 billion from Distribution,  0.7 from Transmission, and  0.8 for Generation</t>
  </si>
  <si>
    <t>LV $/kW per annum</t>
  </si>
  <si>
    <t>LV $/KVA/annum</t>
  </si>
  <si>
    <t>D</t>
  </si>
  <si>
    <t>Ausgrid</t>
  </si>
  <si>
    <t>T</t>
  </si>
  <si>
    <t>ActewAGL</t>
  </si>
  <si>
    <t>G</t>
  </si>
  <si>
    <t>Jemena</t>
  </si>
  <si>
    <t>Ratio of D to T</t>
  </si>
  <si>
    <t>United Energy</t>
  </si>
  <si>
    <t>Ratio of D to network costs</t>
  </si>
  <si>
    <t>ETSA</t>
  </si>
  <si>
    <t>Network only</t>
  </si>
  <si>
    <t>.</t>
  </si>
  <si>
    <t>CSIRO  $223 per kVA pa</t>
  </si>
  <si>
    <t>CRA 2008  $98-124 kVA per annum</t>
  </si>
  <si>
    <t>Ernst &amp; Young $90-$300 per kVA per annum</t>
  </si>
  <si>
    <t>Convert above to $/kW per annum using a load factor of 0.85 (as in Ausgrid 2012)</t>
  </si>
  <si>
    <t>CSIRO $262 per kW per annum</t>
  </si>
  <si>
    <t>CRA 2008  $116- $146  per kW per annum</t>
  </si>
  <si>
    <t>Ernst &amp; Young $105-$352 per kVA per annum</t>
  </si>
  <si>
    <t>Average from LRMC from NEM distributors (excluding Endeavour) $144 per kVA per annum for LV (p. 21)</t>
  </si>
  <si>
    <t>Range excluding Endeavour $134-$160  per kVA per annum for LV</t>
  </si>
  <si>
    <t>Range for distribution in $/kW pa $158-$189</t>
  </si>
  <si>
    <t>Oakley Greenwood Review of AMI Benefits 2010 Report for Vic DPI</t>
  </si>
  <si>
    <t>We believe a value of $200/kW/year is a more accurate estimate of the combined deferral value of generation and network infrastructure.</t>
  </si>
  <si>
    <t>Ausgrid  (derived, with assumptions, from personal communication and Power of Choice submission)</t>
  </si>
  <si>
    <t>Implied $ kW per annum</t>
  </si>
  <si>
    <t>Distribution 2011</t>
  </si>
  <si>
    <t>$1.1 - 2.0m/MW. Produced by converting the cost of network assets required to deliver 1MW of peak, with a 9 per cent real WACC and depreciation</t>
  </si>
  <si>
    <t>Transmission 2011</t>
  </si>
  <si>
    <t>$0.4 - 1.0m/MW. Produced by converting the cost of network assets required to deliver 1MW of peak, with a 9 per cent real WACC and depreciation.</t>
  </si>
  <si>
    <t>Implied distribution $ per kW per annum with 50 year asset life and discount rate given above</t>
  </si>
  <si>
    <t>Implied transmission $ per kW per annum with 50 year asset life and discount rate given above</t>
  </si>
  <si>
    <t>Energex 2011</t>
  </si>
  <si>
    <t>Source is Department of Employment, Economic development and Innovation, 2011, Queensland Energy Management Plan, May, p. 4 or sub. 23</t>
  </si>
  <si>
    <t xml:space="preserve">Implied distribution $ per kW per annum with 50 year asset life </t>
  </si>
  <si>
    <t>Implied transmission $ per kW per annum with 50 year asset life</t>
  </si>
  <si>
    <t>Original data $ per kW per year</t>
  </si>
  <si>
    <t>CSIRO</t>
  </si>
  <si>
    <t>CRA (low)</t>
  </si>
  <si>
    <t>CRA (high)</t>
  </si>
  <si>
    <t>Ernst &amp; Young (low)</t>
  </si>
  <si>
    <t>Ernst &amp; Young (high)</t>
  </si>
  <si>
    <t>Ausgrid proposal</t>
  </si>
  <si>
    <t>ActewAGL proposal</t>
  </si>
  <si>
    <t>Jemena proposal</t>
  </si>
  <si>
    <t>United Energy proposal</t>
  </si>
  <si>
    <t>ETSA proposal</t>
  </si>
  <si>
    <t>Ausgrid low estimate</t>
  </si>
  <si>
    <t>Ausgrid high estimate</t>
  </si>
  <si>
    <t>Energex</t>
  </si>
  <si>
    <t>Skewness</t>
  </si>
  <si>
    <t>Stdev</t>
  </si>
  <si>
    <t>Transformed to 0,1 interval</t>
  </si>
  <si>
    <t>This is used to determine alpha and beta using the methods of moments estimation</t>
  </si>
  <si>
    <t>Sample Average</t>
  </si>
  <si>
    <t>Average as predicted by alpha and beta</t>
  </si>
  <si>
    <t>error from deviation of averages (check)</t>
  </si>
  <si>
    <t>Ausgrid alternative low estimate</t>
  </si>
  <si>
    <t>Ausgrid Alternative high estimate</t>
  </si>
  <si>
    <t>variance</t>
  </si>
  <si>
    <t>Original data</t>
  </si>
  <si>
    <t>OCGT LRMC min</t>
  </si>
  <si>
    <t>From sub 23</t>
  </si>
  <si>
    <t>OCGT LRMC max</t>
  </si>
  <si>
    <t>Part of electricity system</t>
  </si>
  <si>
    <t>Distribution capacity</t>
  </si>
  <si>
    <t>All (aggregate measure)</t>
  </si>
  <si>
    <t>Sum of parts</t>
  </si>
  <si>
    <t>If lowest range for total is used</t>
  </si>
  <si>
    <t>All investment</t>
  </si>
  <si>
    <t>The 1.5 factor is used because regions where deferral is most likely are areas with higher levels of peak demand</t>
  </si>
  <si>
    <t>Consistent estimates for parts</t>
  </si>
  <si>
    <t>Value of network and generation savings $/kW/year</t>
  </si>
  <si>
    <t>Value of transmission and generation savings $/kW/year</t>
  </si>
  <si>
    <t>Total peak demand from these households outside Victoria (MW)</t>
  </si>
  <si>
    <t>Total peak demand from these households outside Victoria (MWs)</t>
  </si>
  <si>
    <t>Seven years to get full demand response, with little demand response in first year. Maximum demand response is subsequently sustained. Linear increase in response over time</t>
  </si>
  <si>
    <t>Number of DLC devices</t>
  </si>
  <si>
    <t>In effect this is households that would have meters installed (outside Victoria)</t>
  </si>
  <si>
    <t>Total peak demand from these households outside Victoria  MW/year</t>
  </si>
  <si>
    <t>Transition costs of DLC</t>
  </si>
  <si>
    <t>Household net benefit</t>
  </si>
  <si>
    <t xml:space="preserve"> Deloitte (2011b , volume 2, p. 52),  which used 0.15 </t>
  </si>
  <si>
    <t>Absolute value of elasticity</t>
  </si>
  <si>
    <t>high response</t>
  </si>
  <si>
    <t>medium response</t>
  </si>
  <si>
    <t>Responsiveness of consumers to peak pricing</t>
  </si>
  <si>
    <t>low response</t>
  </si>
  <si>
    <t>Percentage reduction</t>
  </si>
  <si>
    <t>25 and 75% percentiles annuity per household (rounded to nearest 5)</t>
  </si>
  <si>
    <t>Generalised logistic</t>
  </si>
  <si>
    <t>a_val</t>
  </si>
  <si>
    <t>b_val</t>
  </si>
  <si>
    <t>K_val</t>
  </si>
  <si>
    <t>V_val</t>
  </si>
  <si>
    <t>Q_val</t>
  </si>
  <si>
    <t>M_val</t>
  </si>
  <si>
    <t>Long-run value of demand management</t>
  </si>
  <si>
    <t>Net cumulative benefits</t>
  </si>
  <si>
    <t>Years to get full demand response</t>
  </si>
  <si>
    <t>PV of Net benefit per household</t>
  </si>
  <si>
    <t>Unit cost of sending signals and maintaining IT/software</t>
  </si>
  <si>
    <t>Maximum demand management response associated with direct load control (% effect)</t>
  </si>
  <si>
    <t>Participation rates in scheme</t>
  </si>
  <si>
    <t>Need to take account of changing participation</t>
  </si>
  <si>
    <t>New participants</t>
  </si>
  <si>
    <t>Recruitment effect all scenarios</t>
  </si>
  <si>
    <t>Total peak demand from these households outside Victoria who participate in DLC scheme mVA/year</t>
  </si>
  <si>
    <t>Operating costs $</t>
  </si>
  <si>
    <t>Operating savings $</t>
  </si>
  <si>
    <t>Transition costs of meters $</t>
  </si>
  <si>
    <t>Discounted costs $</t>
  </si>
  <si>
    <t>Discounted benefits $</t>
  </si>
  <si>
    <t>Value ($) of avoided network and generation per kW saved per year</t>
  </si>
  <si>
    <t>Value of Network and generation saved $/kW/year</t>
  </si>
  <si>
    <t>Total peak demand from these households outside Victoria MW/year</t>
  </si>
  <si>
    <t>$/kW per year all other years</t>
  </si>
  <si>
    <t>$/kW per year</t>
  </si>
  <si>
    <t>Value of network savings $/kW/year</t>
  </si>
  <si>
    <t>Install costs all occur up front for any group of participants. Consumers also receive annual payments (30 to 100 per year) ahead of first three years. Software for direct load control updated after 7 years</t>
  </si>
  <si>
    <t>Maximum demand management achieved in year 4, with participation in DLC falling to 70% of maximum participation by year 15</t>
  </si>
  <si>
    <t>Deloitte 2011a p.12, pp. 39 ff</t>
  </si>
  <si>
    <t>Deloitte 2011a pp.12-13, pp. 39ff</t>
  </si>
  <si>
    <t>Estimates based on Oakley Greenwood 2010 p.23 (transitional and ongoing opex of $284m) and Deloitte 2011a p.45 (NPV of OPEX of $592m over 20 years)</t>
  </si>
  <si>
    <t>From Deloitte 2012, Analysis of initiatives to lower peak demand, Final Report, April, p. 21</t>
  </si>
  <si>
    <t>Lower amount presumed with economies of scale and technology change (and consistent with lower figures earlier estimated by NERA 2008a)</t>
  </si>
  <si>
    <t xml:space="preserve">Based on a mixture of assumptions and evidence from on trial studies. Selection biases, the lack of compatible appliances and the difficulties of recruiting people without intensive marketing across the whole NEM suggests that the best trial participation rates are over-optimistic. </t>
  </si>
  <si>
    <t>Assumes that real cost of network capacity each year rises by the same growth rate as peak to average demand (could be higher or lower than this)</t>
  </si>
  <si>
    <t>running at power</t>
  </si>
  <si>
    <t>Alternative calcs based on simple formula that commences discounting at start of year</t>
  </si>
  <si>
    <t xml:space="preserve">ENERGEX estimates that the average investment for each megawatt of additional capacity is $3.5 million (comprising $2 million distribution network assets, $0.7 million transmission asset network costs and $0.8 million generation costs) </t>
  </si>
  <si>
    <t>Gradual demand response under hypothetical case when all smart meters were rolled out simultaneously</t>
  </si>
  <si>
    <t>Total savings in network and generation (LRMC)</t>
  </si>
  <si>
    <t>LRMC</t>
  </si>
  <si>
    <t>SRMC</t>
  </si>
  <si>
    <t>SRMC accounting for power and peak use rates</t>
  </si>
  <si>
    <t>This is the equivalent to the $316</t>
  </si>
  <si>
    <t>Account for not all ac on at the same time or full power (kW)</t>
  </si>
  <si>
    <t>Delloite 2011a (It suggests $2 per meter per month - so roughly $20 a year especially as costs fall)</t>
  </si>
  <si>
    <t>Cost of increasing capacity in distribution networks (2011$)</t>
  </si>
  <si>
    <t>DNSP</t>
  </si>
  <si>
    <t>Estimated Capex/Growth
($M/MW)</t>
  </si>
  <si>
    <t>Ergon</t>
  </si>
  <si>
    <t>Essential Energy</t>
  </si>
  <si>
    <t>Powercor</t>
  </si>
  <si>
    <t>SP AusNet Distr</t>
  </si>
  <si>
    <t>Citipower</t>
  </si>
  <si>
    <t>ETSA Utilities</t>
  </si>
  <si>
    <t>Aurora Energy</t>
  </si>
  <si>
    <t>Capacity wieghted average</t>
  </si>
  <si>
    <t>Transend (TAS)</t>
  </si>
  <si>
    <t>ElectraNet (SA)</t>
  </si>
  <si>
    <t>SP Ausnet (VIC)</t>
  </si>
  <si>
    <t>SP Ausnet (Act)</t>
  </si>
  <si>
    <t>Transgrid (nsw)</t>
  </si>
  <si>
    <t>Powerlink (qld)</t>
  </si>
  <si>
    <t>Estimated capex  growth  ($m per MW)</t>
  </si>
  <si>
    <t>TNSPs</t>
  </si>
  <si>
    <t>Source: Table 28, p. 60 of AECOM 2012, Impact of Electric Vehicles and Natural Gas Vehicles on the Energy Market, Final Advice to the AEMC, 22 June.</t>
  </si>
  <si>
    <t>Source: Table 27, p. 59 of AECOM 2012, Impact of Electric Vehicles and Natural Gas Vehicles on the Energy Market, Final Advice to the AEMC, 22 June.</t>
  </si>
  <si>
    <t>$ per kW per year</t>
  </si>
  <si>
    <t>LRMC assuming 50 year asset life $ per kW per year</t>
  </si>
  <si>
    <t>All Australia</t>
  </si>
  <si>
    <t>Source: Table 29, p. 61 of AECOM 2012, Impact of Electric Vehicles and Natural Gas Vehicles on the Energy Market, Final Advice to the AEMC, 22 June.</t>
  </si>
  <si>
    <t>SRMC transformed to 0,1 interval</t>
  </si>
  <si>
    <t>LRMC transformed to 0,1 interval</t>
  </si>
  <si>
    <t>Variance</t>
  </si>
  <si>
    <t>Rounded 25th percentile $ per Kw</t>
  </si>
  <si>
    <t>Rounded 75th percentile $ per kw</t>
  </si>
  <si>
    <t>AusGrid low estimate</t>
  </si>
  <si>
    <t>AusGrid high estimate</t>
  </si>
  <si>
    <t>Distribution</t>
  </si>
  <si>
    <t>Total</t>
  </si>
  <si>
    <t>These calculations are based on AECOM 2012</t>
  </si>
  <si>
    <t>Inverse beta 25% probability</t>
  </si>
  <si>
    <t>Inverse beta 75 probability</t>
  </si>
  <si>
    <t>Distribution charges - Percentile Method (method 1)</t>
  </si>
  <si>
    <t>Transmission charges Percentile method (method 1)</t>
  </si>
  <si>
    <t>Transmission charges BETA distribution method (method 2)</t>
  </si>
  <si>
    <t>Distribution and Transmission in total Percentile method (Method 1)</t>
  </si>
  <si>
    <t>Distribution and Transmission in total BETA distribution method (method 2)</t>
  </si>
  <si>
    <t>All network and generation Percentile method (method 1)</t>
  </si>
  <si>
    <t>All Network and Transmission in total BETA distribution method (method 2)</t>
  </si>
  <si>
    <t>Summary (BETA distribution - method 2)</t>
  </si>
  <si>
    <t>Summary (Percentile  - method 1)</t>
  </si>
  <si>
    <t xml:space="preserve">Distribution charges BETA distribution Model (method 2) </t>
  </si>
  <si>
    <t>Distribution businesses LRMC estimates</t>
  </si>
  <si>
    <t>Tranmission businesses LRMC estimates</t>
  </si>
  <si>
    <t>Sub 23 Hi</t>
  </si>
  <si>
    <t>Sub 23 low</t>
  </si>
  <si>
    <t>AECOM</t>
  </si>
  <si>
    <t>Generation LRMC</t>
  </si>
  <si>
    <t>Summary (using percentile model only)</t>
  </si>
  <si>
    <t>Distribution LRMC</t>
  </si>
  <si>
    <t>Transmission LRMC</t>
  </si>
  <si>
    <t>Transmission and Generation</t>
  </si>
  <si>
    <t>(1) LRMC</t>
  </si>
  <si>
    <t>(2) SRMC</t>
  </si>
  <si>
    <t>Ausgrid Info Low</t>
  </si>
  <si>
    <t>Ausgrid info high</t>
  </si>
  <si>
    <t>Distribution networks</t>
  </si>
  <si>
    <t>Tranmission networks</t>
  </si>
  <si>
    <t>Energex TNSP SRMC $ per KW</t>
  </si>
  <si>
    <t>Energex Generayion SRMC $ per KW</t>
  </si>
  <si>
    <t>DistributionSRMC</t>
  </si>
  <si>
    <t>Transmission SRMC</t>
  </si>
  <si>
    <t>Generation SRMC</t>
  </si>
  <si>
    <t xml:space="preserve">See tab labelled 'Summary LRMC&amp;SRMC" </t>
  </si>
  <si>
    <t>NEM-wide roll-out with critical peak pricing</t>
  </si>
  <si>
    <t>NEM-wide roll-out with weakly targeted time of use pricing</t>
  </si>
  <si>
    <t>Direct load control without smart meters</t>
  </si>
  <si>
    <t>Cost-benefit ratios</t>
  </si>
  <si>
    <r>
      <t>25</t>
    </r>
    <r>
      <rPr>
        <vertAlign val="superscript"/>
        <sz val="10"/>
        <color theme="1"/>
        <rFont val="Arial"/>
        <family val="2"/>
      </rPr>
      <t>th</t>
    </r>
    <r>
      <rPr>
        <sz val="10"/>
        <color theme="1"/>
        <rFont val="Arial"/>
        <family val="2"/>
      </rPr>
      <t xml:space="preserve"> P ($)</t>
    </r>
  </si>
  <si>
    <r>
      <t>75</t>
    </r>
    <r>
      <rPr>
        <vertAlign val="superscript"/>
        <sz val="10"/>
        <color theme="1"/>
        <rFont val="Arial"/>
        <family val="2"/>
      </rPr>
      <t>th</t>
    </r>
    <r>
      <rPr>
        <sz val="10"/>
        <color theme="1"/>
        <rFont val="Arial"/>
        <family val="2"/>
      </rPr>
      <t xml:space="preserve"> P ($)</t>
    </r>
  </si>
  <si>
    <t>Payment for participating in DLC  for 3 years ($)</t>
  </si>
  <si>
    <t>Ausgrid (personal communication)</t>
  </si>
  <si>
    <t>Deloitte 2011a</t>
  </si>
  <si>
    <t>Futura</t>
  </si>
  <si>
    <t>Oakley Greenwood</t>
  </si>
  <si>
    <t>$ per meter per year</t>
  </si>
  <si>
    <t>$m NPV over meter life</t>
  </si>
  <si>
    <t>Data source</t>
  </si>
  <si>
    <t>CRA 2008a (low)</t>
  </si>
  <si>
    <t>CRA 2008a (high)</t>
  </si>
  <si>
    <t>Study</t>
  </si>
  <si>
    <t>Sub 23 based on the Deloitte 2012 study)</t>
  </si>
  <si>
    <t>Long run reduction in total peak demand from the households concerned</t>
  </si>
  <si>
    <t>% reduction from base</t>
  </si>
  <si>
    <t>SRMC distribution savings $/kW</t>
  </si>
  <si>
    <t>Kw</t>
  </si>
  <si>
    <t>$ per KW per annum</t>
  </si>
  <si>
    <t>SRMC $ per kw</t>
  </si>
  <si>
    <t>LRMC $ per kw per year</t>
  </si>
  <si>
    <t>DM savings on SRMC distribution</t>
  </si>
  <si>
    <t>Total demand reduction (MWs)</t>
  </si>
  <si>
    <t>SRMC savings (=1 if option is on, and 0 if not)</t>
  </si>
  <si>
    <t>Must be zero</t>
  </si>
  <si>
    <t>Transition in response by consumers to pricing (short-run to long-run price elasticity)</t>
  </si>
  <si>
    <t>Absolute value of long-run elasticity</t>
  </si>
  <si>
    <t>Regional roll-out in peaky constrained areas</t>
  </si>
  <si>
    <t>25th and 75th percentile of annuity value per household</t>
  </si>
  <si>
    <t>Regional roll-out in peaky contrained area with an additional deferred lumpy investment</t>
  </si>
  <si>
    <t>Version 2 of scenario 1 (not used in TP)</t>
  </si>
  <si>
    <t>DM Savings LRMC$</t>
  </si>
  <si>
    <r>
      <t xml:space="preserve">This (SEE NOTE) model is identical to scenario 1, except that it includes a given </t>
    </r>
    <r>
      <rPr>
        <b/>
        <i/>
        <sz val="11"/>
        <color theme="1"/>
        <rFont val="Calibri"/>
        <family val="2"/>
        <scheme val="minor"/>
      </rPr>
      <t>lumpy</t>
    </r>
    <r>
      <rPr>
        <sz val="11"/>
        <color theme="1"/>
        <rFont val="Calibri"/>
        <family val="2"/>
        <scheme val="minor"/>
      </rPr>
      <t xml:space="preserve"> project that isdeferred by one year (so the additional gain is the avoided cost for one year of the entire lumpy project)</t>
    </r>
  </si>
  <si>
    <t>Value of deferred project (multiplier)</t>
  </si>
  <si>
    <t>DM savings from deferred lumpy investment ($)</t>
  </si>
  <si>
    <t>See the Contents of this spreadsheet</t>
  </si>
  <si>
    <t>Contents</t>
  </si>
  <si>
    <t>About this spreadsheet</t>
  </si>
  <si>
    <t>Assumption parameters</t>
  </si>
  <si>
    <t>(1) Constrained Peaky regions</t>
  </si>
  <si>
    <t>(2) NEM phase in</t>
  </si>
  <si>
    <t>(3) NEM phase TOU</t>
  </si>
  <si>
    <t>(4) NEM DLC no SM</t>
  </si>
  <si>
    <t>Airconditioning results</t>
  </si>
  <si>
    <t>Summary LRMC and SRMC</t>
  </si>
  <si>
    <t>Various LRMC</t>
  </si>
  <si>
    <t>AECOM LRMC and SRMC</t>
  </si>
  <si>
    <t>One off</t>
  </si>
  <si>
    <t>Constrained peaky networks (V2)</t>
  </si>
  <si>
    <t>References</t>
  </si>
  <si>
    <t>Back to the Contents of this spreadsheet</t>
  </si>
  <si>
    <r>
      <t xml:space="preserve">AECOM 2012, </t>
    </r>
    <r>
      <rPr>
        <i/>
        <sz val="13"/>
        <color theme="1"/>
        <rFont val="Times New Roman"/>
        <family val="1"/>
      </rPr>
      <t>Impact of Electric Vehicles and Natural Gas Vehicles on the Energy Markets</t>
    </r>
    <r>
      <rPr>
        <sz val="13"/>
        <color theme="1"/>
        <rFont val="Times New Roman"/>
        <family val="1"/>
      </rPr>
      <t>, Report for the AEMC, 22 June.</t>
    </r>
  </si>
  <si>
    <r>
      <t xml:space="preserve">AEMC (Australian Energy Market Commission) 2012, </t>
    </r>
    <r>
      <rPr>
        <i/>
        <sz val="13"/>
        <color theme="1"/>
        <rFont val="Times New Roman"/>
        <family val="1"/>
      </rPr>
      <t>Fact Sheet: Enabling Technology (Metering)</t>
    </r>
    <r>
      <rPr>
        <sz val="13"/>
        <color theme="1"/>
        <rFont val="Times New Roman"/>
        <family val="1"/>
      </rPr>
      <t>, 30 November.</t>
    </r>
  </si>
  <si>
    <r>
      <t xml:space="preserve">AER (Australian Energy Regulator) 2011, </t>
    </r>
    <r>
      <rPr>
        <i/>
        <sz val="13"/>
        <color theme="1"/>
        <rFont val="Times New Roman"/>
        <family val="1"/>
      </rPr>
      <t>Victorian Advanced Metering Infrastructure Review, 2012–15 budget and charges applications, final determination</t>
    </r>
    <r>
      <rPr>
        <sz val="13"/>
        <color theme="1"/>
        <rFont val="Times New Roman"/>
        <family val="1"/>
      </rPr>
      <t>, October.</t>
    </r>
  </si>
  <si>
    <r>
      <t xml:space="preserve">—— 2012, </t>
    </r>
    <r>
      <rPr>
        <i/>
        <sz val="13"/>
        <color theme="1"/>
        <rFont val="Times New Roman"/>
        <family val="1"/>
      </rPr>
      <t>Determination, Advanced Metering Infrastructure</t>
    </r>
    <r>
      <rPr>
        <sz val="13"/>
        <color theme="1"/>
        <rFont val="Times New Roman"/>
        <family val="1"/>
      </rPr>
      <t>, 2013 revised charges, October 2012.</t>
    </r>
  </si>
  <si>
    <r>
      <t xml:space="preserve">Ausgrid 2012, </t>
    </r>
    <r>
      <rPr>
        <i/>
        <sz val="13"/>
        <color theme="1"/>
        <rFont val="Times New Roman"/>
        <family val="1"/>
      </rPr>
      <t>Ausgrid Network Pricing Proposal for the Financial Year Ending June 2013</t>
    </r>
    <r>
      <rPr>
        <sz val="13"/>
        <color theme="1"/>
        <rFont val="Times New Roman"/>
        <family val="1"/>
      </rPr>
      <t>, May 2012.</t>
    </r>
  </si>
  <si>
    <r>
      <t xml:space="preserve">CRA (Charles River Associates) 2007, </t>
    </r>
    <r>
      <rPr>
        <i/>
        <sz val="13"/>
        <color theme="1"/>
        <rFont val="Times New Roman"/>
        <family val="1"/>
      </rPr>
      <t>Cost Benefit Analysis of Smart Metering and Direct Load Control, Stream 2, Network Benefits and Recurring Costs</t>
    </r>
    <r>
      <rPr>
        <sz val="13"/>
        <color theme="1"/>
        <rFont val="Times New Roman"/>
        <family val="1"/>
      </rPr>
      <t>, prepared for the Department of Industry, Tourism and Resources, Phase 1 Report, September.</t>
    </r>
  </si>
  <si>
    <r>
      <t xml:space="preserve">—— 2008a, </t>
    </r>
    <r>
      <rPr>
        <i/>
        <sz val="13"/>
        <color theme="1"/>
        <rFont val="Times New Roman"/>
        <family val="1"/>
      </rPr>
      <t>Cost benefit analysis of smart metering and direct load control</t>
    </r>
    <r>
      <rPr>
        <sz val="13"/>
        <color theme="1"/>
        <rFont val="Times New Roman"/>
        <family val="1"/>
      </rPr>
      <t>, Report to the Ministerial Council on Energy, Work stream 2: Network benefits and recurrent costs.</t>
    </r>
  </si>
  <si>
    <r>
      <t xml:space="preserve">—— 2008b, </t>
    </r>
    <r>
      <rPr>
        <i/>
        <sz val="13"/>
        <color theme="1"/>
        <rFont val="Times New Roman"/>
        <family val="1"/>
      </rPr>
      <t>Cost benefit analysis of smart metering and direct load control</t>
    </r>
    <r>
      <rPr>
        <sz val="13"/>
        <color theme="1"/>
        <rFont val="Times New Roman"/>
        <family val="1"/>
      </rPr>
      <t>, Report to the Ministerial Council on Energy, Work stream 5: Economic Impacts on wholesale electricity market and greenhouse gas emission outcomes.</t>
    </r>
  </si>
  <si>
    <r>
      <t xml:space="preserve">Deloitte 2011a, </t>
    </r>
    <r>
      <rPr>
        <i/>
        <sz val="13"/>
        <color theme="1"/>
        <rFont val="Times New Roman"/>
        <family val="1"/>
      </rPr>
      <t>Advanced metering infrastructure cost benefit analysis</t>
    </r>
    <r>
      <rPr>
        <sz val="13"/>
        <color theme="1"/>
        <rFont val="Times New Roman"/>
        <family val="1"/>
      </rPr>
      <t>, Final Report to the Victorian Department of Treasury and Finance, 2</t>
    </r>
    <r>
      <rPr>
        <vertAlign val="superscript"/>
        <sz val="13"/>
        <color theme="1"/>
        <rFont val="Times New Roman"/>
        <family val="1"/>
      </rPr>
      <t> </t>
    </r>
    <r>
      <rPr>
        <sz val="13"/>
        <color theme="1"/>
        <rFont val="Times New Roman"/>
        <family val="1"/>
      </rPr>
      <t>August.</t>
    </r>
  </si>
  <si>
    <r>
      <t xml:space="preserve">—— 2011b, </t>
    </r>
    <r>
      <rPr>
        <i/>
        <sz val="13"/>
        <color theme="1"/>
        <rFont val="Times New Roman"/>
        <family val="1"/>
      </rPr>
      <t>Advanced metering infrastructure customer impact study</t>
    </r>
    <r>
      <rPr>
        <sz val="13"/>
        <color theme="1"/>
        <rFont val="Times New Roman"/>
        <family val="1"/>
      </rPr>
      <t>, Final Report, 2 volumes, report to the Victorian Department of Primary Industries, October.</t>
    </r>
  </si>
  <si>
    <r>
      <t xml:space="preserve">—— 2012, </t>
    </r>
    <r>
      <rPr>
        <i/>
        <sz val="13"/>
        <color theme="1"/>
        <rFont val="Times New Roman"/>
        <family val="1"/>
      </rPr>
      <t>Analysis of initiatives to lower peak demand</t>
    </r>
    <r>
      <rPr>
        <sz val="13"/>
        <color theme="1"/>
        <rFont val="Times New Roman"/>
        <family val="1"/>
      </rPr>
      <t>, Report for Energy Supply Association of Australia, April.</t>
    </r>
  </si>
  <si>
    <r>
      <t xml:space="preserve">EMCa (Energy Market Consulting Associates) 2008, </t>
    </r>
    <r>
      <rPr>
        <i/>
        <sz val="13"/>
        <color theme="1"/>
        <rFont val="Times New Roman"/>
        <family val="1"/>
      </rPr>
      <t>Cost benefit analysis of smart metering and direct load control</t>
    </r>
    <r>
      <rPr>
        <sz val="13"/>
        <color theme="1"/>
        <rFont val="Times New Roman"/>
        <family val="1"/>
      </rPr>
      <t>, Report to the Ministerial Council on Energy, Work stream 6: Transitional implementation costs.</t>
    </r>
  </si>
  <si>
    <r>
      <t xml:space="preserve">EnergyAustralia and TransGrid 2009, </t>
    </r>
    <r>
      <rPr>
        <i/>
        <sz val="13"/>
        <color theme="1"/>
        <rFont val="Times New Roman"/>
        <family val="1"/>
      </rPr>
      <t>Demand Management Investigation Report, Sydney Inner Metropolitan Area</t>
    </r>
    <r>
      <rPr>
        <sz val="13"/>
        <color theme="1"/>
        <rFont val="Times New Roman"/>
        <family val="1"/>
      </rPr>
      <t>, November.</t>
    </r>
  </si>
  <si>
    <r>
      <t xml:space="preserve">Ernst and Young, 2011, </t>
    </r>
    <r>
      <rPr>
        <i/>
        <sz val="13"/>
        <color theme="1"/>
        <rFont val="Times New Roman"/>
        <family val="1"/>
      </rPr>
      <t>Rationale and drivers for DSP in the electricity market – demand and supply of electricity</t>
    </r>
    <r>
      <rPr>
        <sz val="13"/>
        <color theme="1"/>
        <rFont val="Times New Roman"/>
        <family val="1"/>
      </rPr>
      <t>, report for the AEMC Power of Choice review, December.</t>
    </r>
  </si>
  <si>
    <r>
      <t xml:space="preserve">ESC (Essential Services Commission) 2002, </t>
    </r>
    <r>
      <rPr>
        <i/>
        <sz val="13"/>
        <color theme="1"/>
        <rFont val="Times New Roman"/>
        <family val="1"/>
      </rPr>
      <t>Installing interval meters for electricity customers — costs and benefits: Position paper</t>
    </r>
    <r>
      <rPr>
        <sz val="13"/>
        <color theme="1"/>
        <rFont val="Times New Roman"/>
        <family val="1"/>
      </rPr>
      <t>, Melbourne.</t>
    </r>
  </si>
  <si>
    <r>
      <t xml:space="preserve">—— 2004, </t>
    </r>
    <r>
      <rPr>
        <i/>
        <sz val="13"/>
        <color theme="1"/>
        <rFont val="Times New Roman"/>
        <family val="1"/>
      </rPr>
      <t>Mandatory rollout of interval meters for electricity customers: Final decision</t>
    </r>
    <r>
      <rPr>
        <sz val="13"/>
        <color theme="1"/>
        <rFont val="Times New Roman"/>
        <family val="1"/>
      </rPr>
      <t>, Melbourne.</t>
    </r>
  </si>
  <si>
    <r>
      <t xml:space="preserve">Etrog Consulting 2012, </t>
    </r>
    <r>
      <rPr>
        <i/>
        <sz val="13"/>
        <color theme="1"/>
        <rFont val="Times New Roman"/>
        <family val="1"/>
      </rPr>
      <t>Flexible pricing of electricity for residential and small business customers</t>
    </r>
    <r>
      <rPr>
        <sz val="13"/>
        <color theme="1"/>
        <rFont val="Times New Roman"/>
        <family val="1"/>
      </rPr>
      <t>, prepared for Department of Primary Industries, Victorian Government.</t>
    </r>
  </si>
  <si>
    <r>
      <t xml:space="preserve">ETSA Utilities 2009, </t>
    </r>
    <r>
      <rPr>
        <i/>
        <sz val="13"/>
        <color theme="1"/>
        <rFont val="Times New Roman"/>
        <family val="1"/>
      </rPr>
      <t>Annual Demand Management Compliance Report</t>
    </r>
    <r>
      <rPr>
        <sz val="13"/>
        <color theme="1"/>
        <rFont val="Times New Roman"/>
        <family val="1"/>
      </rPr>
      <t>, Issue 1.0, August.</t>
    </r>
  </si>
  <si>
    <r>
      <t xml:space="preserve">Faruqui, A. and Palmer, J. 2011, ‘Dynamic pricing and Its Discontents’, </t>
    </r>
    <r>
      <rPr>
        <i/>
        <sz val="13"/>
        <color theme="1"/>
        <rFont val="Times New Roman"/>
        <family val="1"/>
      </rPr>
      <t>Regulation</t>
    </r>
    <r>
      <rPr>
        <sz val="13"/>
        <color theme="1"/>
        <rFont val="Times New Roman"/>
        <family val="1"/>
      </rPr>
      <t>, Fall, pp. 16‑22.</t>
    </r>
  </si>
  <si>
    <r>
      <t xml:space="preserve">Futura Consulting 2009, </t>
    </r>
    <r>
      <rPr>
        <i/>
        <sz val="13"/>
        <color theme="1"/>
        <rFont val="Times New Roman"/>
        <family val="1"/>
      </rPr>
      <t>Advanced metering infrastructure program — benefits realisation roadmap</t>
    </r>
    <r>
      <rPr>
        <sz val="13"/>
        <color theme="1"/>
        <rFont val="Times New Roman"/>
        <family val="1"/>
      </rPr>
      <t>, report prepared for the Department of Primary Industries.</t>
    </r>
  </si>
  <si>
    <r>
      <t xml:space="preserve">—— 2011, </t>
    </r>
    <r>
      <rPr>
        <i/>
        <sz val="13"/>
        <color theme="1"/>
        <rFont val="Times New Roman"/>
        <family val="1"/>
      </rPr>
      <t>Power of choice — giving consumers options in the way they use electricity, Investigation of existing and plausible future demand side participation in the electricity market</t>
    </r>
    <r>
      <rPr>
        <sz val="13"/>
        <color theme="1"/>
        <rFont val="Times New Roman"/>
        <family val="1"/>
      </rPr>
      <t>, Final Report for the Australian Energy Market Commission, December.</t>
    </r>
  </si>
  <si>
    <r>
      <t xml:space="preserve">—— 2012, </t>
    </r>
    <r>
      <rPr>
        <i/>
        <sz val="13"/>
        <color theme="1"/>
        <rFont val="Times New Roman"/>
        <family val="1"/>
      </rPr>
      <t>Analysis of Initiatives to Lower Peak Demand</t>
    </r>
    <r>
      <rPr>
        <sz val="13"/>
        <color theme="1"/>
        <rFont val="Times New Roman"/>
        <family val="1"/>
      </rPr>
      <t>, Final Report to the Energy Supply Association of Australia, April.</t>
    </r>
  </si>
  <si>
    <r>
      <t xml:space="preserve">Harrison, M. 2010, </t>
    </r>
    <r>
      <rPr>
        <i/>
        <sz val="13"/>
        <color theme="1"/>
        <rFont val="Times New Roman"/>
        <family val="1"/>
      </rPr>
      <t>Valuing the Future: the social discount rate in cost-benefit analysis</t>
    </r>
    <r>
      <rPr>
        <sz val="13"/>
        <color theme="1"/>
        <rFont val="Times New Roman"/>
        <family val="1"/>
      </rPr>
      <t>, Visiting Researcher Paper, Productivity Commission, Canberra.</t>
    </r>
  </si>
  <si>
    <r>
      <t xml:space="preserve">Hierzinger, R., Albu, M., van Elburg, H., Scott, A., Łazicki, A., Penttinen, L., Puente, F., Sæle, H. 2012, </t>
    </r>
    <r>
      <rPr>
        <i/>
        <sz val="13"/>
        <color theme="1"/>
        <rFont val="Times New Roman"/>
        <family val="1"/>
      </rPr>
      <t>European Smart Metering Landscape Report 2012</t>
    </r>
    <r>
      <rPr>
        <sz val="13"/>
        <color theme="1"/>
        <rFont val="Times New Roman"/>
        <family val="1"/>
      </rPr>
      <t xml:space="preserve">, SmartRegions Deliverable 2.1, www.smartregions.net, October, Vienna. </t>
    </r>
  </si>
  <si>
    <r>
      <t xml:space="preserve">KPMG 2008, </t>
    </r>
    <r>
      <rPr>
        <i/>
        <sz val="13"/>
        <color theme="1"/>
        <rFont val="Times New Roman"/>
        <family val="1"/>
      </rPr>
      <t>Cost benefit analysis of smart metering and direct load control</t>
    </r>
    <r>
      <rPr>
        <sz val="13"/>
        <color theme="1"/>
        <rFont val="Times New Roman"/>
        <family val="1"/>
      </rPr>
      <t>, Report to the Ministerial Council on Energy, Work stream 3: Retailer impacts.</t>
    </r>
  </si>
  <si>
    <r>
      <t xml:space="preserve">Langmore, M. and Duffy, G. 2004, </t>
    </r>
    <r>
      <rPr>
        <i/>
        <sz val="13"/>
        <color theme="1"/>
        <rFont val="Times New Roman"/>
        <family val="1"/>
      </rPr>
      <t>Domestic electricity demand elasticities, Issues for the Victorian Energy Market</t>
    </r>
    <r>
      <rPr>
        <sz val="13"/>
        <color theme="1"/>
        <rFont val="Times New Roman"/>
        <family val="1"/>
      </rPr>
      <t>, paper for the St Vincent de Paul Society.</t>
    </r>
  </si>
  <si>
    <r>
      <t xml:space="preserve">McGowan, S, 2009, ‘Hot in the city’, </t>
    </r>
    <r>
      <rPr>
        <i/>
        <sz val="13"/>
        <color theme="1"/>
        <rFont val="Times New Roman"/>
        <family val="1"/>
      </rPr>
      <t>Ecolibrium</t>
    </r>
    <r>
      <rPr>
        <sz val="13"/>
        <color theme="1"/>
        <rFont val="Times New Roman"/>
        <family val="1"/>
      </rPr>
      <t>, February 2009, pp. 14‑17.</t>
    </r>
  </si>
  <si>
    <r>
      <t xml:space="preserve">Oakley Greenwood 2010a, </t>
    </r>
    <r>
      <rPr>
        <i/>
        <sz val="13"/>
        <color theme="1"/>
        <rFont val="Times New Roman"/>
        <family val="1"/>
      </rPr>
      <t>Review of AMI benefits</t>
    </r>
    <r>
      <rPr>
        <sz val="13"/>
        <color theme="1"/>
        <rFont val="Times New Roman"/>
        <family val="1"/>
      </rPr>
      <t>, report prepared for the Victorian Department of Primary Industries, July.</t>
    </r>
  </si>
  <si>
    <r>
      <t xml:space="preserve">—— 2010b, </t>
    </r>
    <r>
      <rPr>
        <i/>
        <sz val="13"/>
        <color theme="1"/>
        <rFont val="Times New Roman"/>
        <family val="1"/>
      </rPr>
      <t>Benefits and Costs of the Victorian AMI Program</t>
    </r>
    <r>
      <rPr>
        <sz val="13"/>
        <color theme="1"/>
        <rFont val="Times New Roman"/>
        <family val="1"/>
      </rPr>
      <t>, report prepared for the Victorian Department of Primary Industries, August.</t>
    </r>
  </si>
  <si>
    <r>
      <t xml:space="preserve">NERA (NERA Economic Consulting) 2008a, </t>
    </r>
    <r>
      <rPr>
        <i/>
        <sz val="13"/>
        <color theme="1"/>
        <rFont val="Times New Roman"/>
        <family val="1"/>
      </rPr>
      <t>Cost benefit analysis of smart metering and direct load control</t>
    </r>
    <r>
      <rPr>
        <sz val="13"/>
        <color theme="1"/>
        <rFont val="Times New Roman"/>
        <family val="1"/>
      </rPr>
      <t>, Report to the Ministerial Council on Energy, Overview report for consultation.</t>
    </r>
  </si>
  <si>
    <r>
      <t xml:space="preserve">—— 2008b, </t>
    </r>
    <r>
      <rPr>
        <i/>
        <sz val="13"/>
        <color theme="1"/>
        <rFont val="Times New Roman"/>
        <family val="1"/>
      </rPr>
      <t>Cost benefit analysis of smart metering and direct load control</t>
    </r>
    <r>
      <rPr>
        <sz val="13"/>
        <color theme="1"/>
        <rFont val="Times New Roman"/>
        <family val="1"/>
      </rPr>
      <t>, Report to the Ministerial Council on Energy, Work stream 4: Consumer impacts.</t>
    </r>
  </si>
  <si>
    <r>
      <t xml:space="preserve">Origin Energy 2012, </t>
    </r>
    <r>
      <rPr>
        <i/>
        <sz val="13"/>
        <color theme="1"/>
        <rFont val="Times New Roman"/>
        <family val="1"/>
      </rPr>
      <t>NSW Pricing Tariffs</t>
    </r>
    <r>
      <rPr>
        <sz val="13"/>
        <color theme="1"/>
        <rFont val="Times New Roman"/>
        <family val="1"/>
      </rPr>
      <t>, accessed in March 2013 from www.originenergy.com.au.</t>
    </r>
  </si>
  <si>
    <r>
      <t xml:space="preserve">—— 2013, </t>
    </r>
    <r>
      <rPr>
        <i/>
        <sz val="13"/>
        <color theme="1"/>
        <rFont val="Times New Roman"/>
        <family val="1"/>
      </rPr>
      <t>Tariff details for Smart Time of Use Explained and Dynamic Saver Explained</t>
    </r>
    <r>
      <rPr>
        <sz val="13"/>
        <color theme="1"/>
        <rFont val="Times New Roman"/>
        <family val="1"/>
      </rPr>
      <t>, accessed 30 March from www.originenergy.com.au.</t>
    </r>
  </si>
  <si>
    <r>
      <t xml:space="preserve">Queensland Department of Employment, Economic Development and Innovation 2011, </t>
    </r>
    <r>
      <rPr>
        <i/>
        <sz val="13"/>
        <color theme="1"/>
        <rFont val="Times New Roman"/>
        <family val="1"/>
      </rPr>
      <t>Queensland Energy Management Plan</t>
    </r>
    <r>
      <rPr>
        <sz val="13"/>
        <color theme="1"/>
        <rFont val="Times New Roman"/>
        <family val="1"/>
      </rPr>
      <t>, May.</t>
    </r>
  </si>
  <si>
    <r>
      <t xml:space="preserve">Victorian Auditor-General, 2009, </t>
    </r>
    <r>
      <rPr>
        <i/>
        <sz val="13"/>
        <color theme="1"/>
        <rFont val="Times New Roman"/>
        <family val="1"/>
      </rPr>
      <t>Toward a ‘smart grid’ — the roll out of advanced metering infrastructure</t>
    </r>
    <r>
      <rPr>
        <sz val="13"/>
        <color theme="1"/>
        <rFont val="Times New Roman"/>
        <family val="1"/>
      </rPr>
      <t>, Report 2009‑10:3, Melbourne.</t>
    </r>
  </si>
  <si>
    <r>
      <t xml:space="preserve">Wilkenfeld, G. 2011, </t>
    </r>
    <r>
      <rPr>
        <i/>
        <sz val="13"/>
        <color theme="1"/>
        <rFont val="Times New Roman"/>
        <family val="1"/>
      </rPr>
      <t>Demand Response Standard AS/NZS 4755</t>
    </r>
    <r>
      <rPr>
        <sz val="13"/>
        <color theme="1"/>
        <rFont val="Times New Roman"/>
        <family val="1"/>
      </rPr>
      <t>, Consultant to Equipment Energy Efficiency (E3) Program, Australia. Presentation to APEC Workshop, Seoul, November 2011.</t>
    </r>
  </si>
  <si>
    <r>
      <t xml:space="preserve">—— 2013, </t>
    </r>
    <r>
      <rPr>
        <i/>
        <sz val="13"/>
        <color theme="1"/>
        <rFont val="Times New Roman"/>
        <family val="1"/>
      </rPr>
      <t>Meter Upgrades</t>
    </r>
    <r>
      <rPr>
        <sz val="13"/>
        <color theme="1"/>
        <rFont val="Times New Roman"/>
        <family val="1"/>
      </rPr>
      <t>, accessed on 25 March 2013 from http://www.ausgrid.com.au/Common/Our-network/Metering/Meter-upgrades.aspx.</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</si>
</sst>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0.0"/>
    <numFmt numFmtId="167" formatCode="0.000"/>
    <numFmt numFmtId="168" formatCode="0.00000"/>
    <numFmt numFmtId="169" formatCode="0.0000"/>
    <numFmt numFmtId="170" formatCode="0.000000"/>
    <numFmt numFmtId="171" formatCode="_-[$$-C09]* #,##0_-;\-[$$-C09]* #,##0_-;_-[$$-C09]* &quot;-&quot;??_-;_-@_-"/>
    <numFmt numFmtId="172" formatCode="_-* #,##0.000_-;\-* #,##0.000_-;_-* &quot;-&quot;??_-;_-@_-"/>
  </numFmts>
  <fonts count="4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1"/>
      <color theme="1"/>
      <name val="Calibri"/>
      <family val="2"/>
      <scheme val="minor"/>
    </font>
    <font>
      <sz val="18"/>
      <color theme="1"/>
      <name val="Calibri"/>
      <family val="2"/>
      <scheme val="minor"/>
    </font>
    <font>
      <sz val="9"/>
      <color indexed="81"/>
      <name val="Tahoma"/>
      <family val="2"/>
    </font>
    <font>
      <b/>
      <sz val="9"/>
      <color indexed="81"/>
      <name val="Tahoma"/>
      <family val="2"/>
    </font>
    <font>
      <sz val="8"/>
      <color indexed="81"/>
      <name val="Tahoma"/>
      <family val="2"/>
    </font>
    <font>
      <sz val="12"/>
      <color theme="1"/>
      <name val="Times New Roman"/>
      <family val="1"/>
    </font>
    <font>
      <b/>
      <sz val="10"/>
      <color theme="1"/>
      <name val="Arial"/>
      <family val="2"/>
    </font>
    <font>
      <i/>
      <sz val="10"/>
      <color theme="1"/>
      <name val="Arial"/>
      <family val="2"/>
    </font>
    <font>
      <b/>
      <i/>
      <sz val="11"/>
      <color rgb="FFFF0000"/>
      <name val="Calibri"/>
      <family val="2"/>
      <scheme val="minor"/>
    </font>
    <font>
      <sz val="10"/>
      <color theme="0"/>
      <name val="Arial"/>
      <family val="2"/>
    </font>
    <font>
      <sz val="11"/>
      <name val="Calibri"/>
      <family val="2"/>
      <scheme val="minor"/>
    </font>
    <font>
      <sz val="11"/>
      <color theme="0"/>
      <name val="Calibri"/>
      <family val="2"/>
      <scheme val="minor"/>
    </font>
    <font>
      <i/>
      <sz val="11"/>
      <color theme="1"/>
      <name val="Calibri"/>
      <family val="2"/>
      <scheme val="minor"/>
    </font>
    <font>
      <b/>
      <i/>
      <sz val="10"/>
      <color theme="1"/>
      <name val="Arial"/>
      <family val="2"/>
    </font>
    <font>
      <sz val="11"/>
      <color rgb="FF000000"/>
      <name val="Calibri"/>
      <family val="2"/>
      <scheme val="minor"/>
    </font>
    <font>
      <b/>
      <sz val="10"/>
      <color rgb="FFFF0000"/>
      <name val="Arial"/>
      <family val="2"/>
    </font>
    <font>
      <b/>
      <sz val="10"/>
      <name val="Arial"/>
      <family val="2"/>
    </font>
    <font>
      <sz val="16"/>
      <name val="Calibri"/>
      <family val="2"/>
      <scheme val="minor"/>
    </font>
    <font>
      <b/>
      <sz val="14"/>
      <color theme="1"/>
      <name val="Calibri"/>
      <family val="2"/>
      <scheme val="minor"/>
    </font>
    <font>
      <b/>
      <sz val="16"/>
      <color theme="1"/>
      <name val="Calibri"/>
      <family val="2"/>
      <scheme val="minor"/>
    </font>
    <font>
      <b/>
      <sz val="24"/>
      <color theme="1"/>
      <name val="Calibri"/>
      <family val="2"/>
      <scheme val="minor"/>
    </font>
    <font>
      <b/>
      <sz val="11"/>
      <color theme="1"/>
      <name val="Arial"/>
      <family val="2"/>
    </font>
    <font>
      <b/>
      <sz val="12"/>
      <color theme="1"/>
      <name val="Arial"/>
      <family val="2"/>
    </font>
    <font>
      <sz val="18"/>
      <name val="Calibri"/>
      <family val="2"/>
      <scheme val="minor"/>
    </font>
    <font>
      <sz val="28"/>
      <color theme="1"/>
      <name val="Calibri"/>
      <family val="2"/>
      <scheme val="minor"/>
    </font>
    <font>
      <vertAlign val="superscript"/>
      <sz val="10"/>
      <color theme="1"/>
      <name val="Arial"/>
      <family val="2"/>
    </font>
    <font>
      <b/>
      <i/>
      <sz val="11"/>
      <color theme="1"/>
      <name val="Calibri"/>
      <family val="2"/>
      <scheme val="minor"/>
    </font>
    <font>
      <u/>
      <sz val="11"/>
      <color theme="10"/>
      <name val="Calibri"/>
      <family val="2"/>
      <scheme val="minor"/>
    </font>
    <font>
      <b/>
      <sz val="13"/>
      <color theme="1"/>
      <name val="Arial"/>
      <family val="2"/>
    </font>
    <font>
      <sz val="13"/>
      <color theme="1"/>
      <name val="Times New Roman"/>
      <family val="1"/>
    </font>
    <font>
      <i/>
      <sz val="13"/>
      <color theme="1"/>
      <name val="Times New Roman"/>
      <family val="1"/>
    </font>
    <font>
      <vertAlign val="superscript"/>
      <sz val="13"/>
      <color theme="1"/>
      <name val="Times New Roman"/>
      <family val="1"/>
    </font>
  </fonts>
  <fills count="22">
    <fill>
      <patternFill patternType="none"/>
    </fill>
    <fill>
      <patternFill patternType="gray125"/>
    </fill>
    <fill>
      <patternFill patternType="solid">
        <fgColor rgb="FFFFFF0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249977111117893"/>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C00000"/>
        <bgColor indexed="64"/>
      </patternFill>
    </fill>
    <fill>
      <patternFill patternType="solid">
        <fgColor theme="9" tint="0.59999389629810485"/>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rgb="FFFF0000"/>
      </left>
      <right style="thick">
        <color rgb="FFFF0000"/>
      </right>
      <top style="thick">
        <color rgb="FFFF0000"/>
      </top>
      <bottom style="thick">
        <color rgb="FFFF0000"/>
      </bottom>
      <diagonal/>
    </border>
    <border>
      <left/>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38" fillId="0" borderId="0" applyNumberFormat="0" applyFill="0" applyBorder="0" applyAlignment="0" applyProtection="0"/>
  </cellStyleXfs>
  <cellXfs count="236">
    <xf numFmtId="0" fontId="0" fillId="0" borderId="0" xfId="0"/>
    <xf numFmtId="0" fontId="11" fillId="0" borderId="0" xfId="0" applyFont="1"/>
    <xf numFmtId="164" fontId="0" fillId="0" borderId="0" xfId="0" applyNumberFormat="1"/>
    <xf numFmtId="165" fontId="0" fillId="0" borderId="0" xfId="2" applyNumberFormat="1" applyFont="1"/>
    <xf numFmtId="164" fontId="0" fillId="2" borderId="2" xfId="1" applyNumberFormat="1" applyFont="1" applyFill="1" applyBorder="1"/>
    <xf numFmtId="0" fontId="0" fillId="2" borderId="3" xfId="0" applyFill="1" applyBorder="1"/>
    <xf numFmtId="0" fontId="0" fillId="2" borderId="1" xfId="0" applyFill="1" applyBorder="1"/>
    <xf numFmtId="2" fontId="0" fillId="0" borderId="0" xfId="2" applyNumberFormat="1" applyFont="1"/>
    <xf numFmtId="44" fontId="0" fillId="0" borderId="0" xfId="0" applyNumberFormat="1"/>
    <xf numFmtId="2" fontId="0" fillId="0" borderId="0" xfId="0" applyNumberFormat="1"/>
    <xf numFmtId="0" fontId="12" fillId="0" borderId="0" xfId="0" applyFont="1"/>
    <xf numFmtId="44" fontId="0" fillId="0" borderId="0" xfId="2" applyFont="1" applyFill="1" applyBorder="1"/>
    <xf numFmtId="165" fontId="0" fillId="0" borderId="0" xfId="0" applyNumberFormat="1"/>
    <xf numFmtId="0" fontId="0" fillId="2" borderId="4" xfId="0" applyFill="1" applyBorder="1"/>
    <xf numFmtId="0" fontId="0" fillId="2" borderId="2" xfId="0" applyFill="1" applyBorder="1"/>
    <xf numFmtId="43" fontId="0" fillId="2" borderId="3" xfId="0" applyNumberFormat="1" applyFill="1" applyBorder="1"/>
    <xf numFmtId="166" fontId="0" fillId="0" borderId="0" xfId="0" applyNumberFormat="1"/>
    <xf numFmtId="44" fontId="0" fillId="0" borderId="0" xfId="2" applyNumberFormat="1" applyFont="1"/>
    <xf numFmtId="43" fontId="0" fillId="0" borderId="0" xfId="0" applyNumberFormat="1"/>
    <xf numFmtId="167" fontId="0" fillId="0" borderId="0" xfId="0" applyNumberFormat="1"/>
    <xf numFmtId="1" fontId="0" fillId="0" borderId="0" xfId="0" applyNumberFormat="1"/>
    <xf numFmtId="0" fontId="0" fillId="0" borderId="0" xfId="0" applyAlignment="1">
      <alignment horizontal="right"/>
    </xf>
    <xf numFmtId="168" fontId="0" fillId="0" borderId="0" xfId="0" applyNumberFormat="1"/>
    <xf numFmtId="0" fontId="0" fillId="0" borderId="5" xfId="0" applyBorder="1"/>
    <xf numFmtId="0" fontId="11" fillId="0" borderId="0" xfId="0" applyFont="1" applyAlignment="1"/>
    <xf numFmtId="0" fontId="0" fillId="0" borderId="0" xfId="0" applyFill="1" applyBorder="1" applyAlignment="1">
      <alignment horizontal="right"/>
    </xf>
    <xf numFmtId="0" fontId="16" fillId="0" borderId="0" xfId="0" applyFont="1"/>
    <xf numFmtId="0" fontId="18" fillId="0" borderId="6" xfId="0" applyFont="1" applyBorder="1" applyAlignment="1">
      <alignment horizontal="left" vertical="center" wrapText="1"/>
    </xf>
    <xf numFmtId="0" fontId="18" fillId="0" borderId="6" xfId="0" applyFont="1" applyBorder="1" applyAlignment="1">
      <alignment horizontal="right" vertical="center" wrapText="1"/>
    </xf>
    <xf numFmtId="0" fontId="9" fillId="0" borderId="0" xfId="0" applyFont="1" applyAlignment="1">
      <alignment horizontal="left" vertical="center" wrapText="1"/>
    </xf>
    <xf numFmtId="0" fontId="9" fillId="0" borderId="0" xfId="0" applyFont="1" applyAlignment="1">
      <alignment horizontal="right" vertical="center" wrapText="1"/>
    </xf>
    <xf numFmtId="0" fontId="17" fillId="3" borderId="0" xfId="0" applyFont="1" applyFill="1" applyAlignment="1">
      <alignment horizontal="left" vertical="center" wrapText="1"/>
    </xf>
    <xf numFmtId="0" fontId="17" fillId="3" borderId="0" xfId="0" applyFont="1" applyFill="1" applyAlignment="1">
      <alignment horizontal="right" vertical="center" wrapText="1"/>
    </xf>
    <xf numFmtId="0" fontId="17" fillId="0" borderId="7" xfId="0" applyFont="1" applyBorder="1" applyAlignment="1">
      <alignment horizontal="left" vertical="center" wrapText="1"/>
    </xf>
    <xf numFmtId="0" fontId="17" fillId="0" borderId="7" xfId="0" applyFont="1" applyBorder="1" applyAlignment="1">
      <alignment horizontal="right" vertical="center" wrapText="1"/>
    </xf>
    <xf numFmtId="0" fontId="9" fillId="0" borderId="0" xfId="0" applyFont="1" applyAlignment="1">
      <alignment horizontal="left" vertical="center" wrapText="1"/>
    </xf>
    <xf numFmtId="0" fontId="9" fillId="0" borderId="0" xfId="0" applyFont="1" applyAlignment="1">
      <alignment horizontal="right" vertical="center" wrapText="1"/>
    </xf>
    <xf numFmtId="164" fontId="9" fillId="0" borderId="0" xfId="0" applyNumberFormat="1" applyFont="1" applyAlignment="1">
      <alignment horizontal="right" vertical="center" wrapText="1"/>
    </xf>
    <xf numFmtId="1" fontId="9" fillId="0" borderId="0" xfId="0" applyNumberFormat="1" applyFont="1" applyAlignment="1">
      <alignment horizontal="right" vertical="center" wrapText="1"/>
    </xf>
    <xf numFmtId="166" fontId="17" fillId="0" borderId="7" xfId="0" applyNumberFormat="1" applyFont="1" applyBorder="1" applyAlignment="1">
      <alignment horizontal="right" vertical="center" wrapText="1"/>
    </xf>
    <xf numFmtId="1" fontId="9" fillId="4" borderId="0" xfId="0" applyNumberFormat="1" applyFont="1" applyFill="1" applyAlignment="1">
      <alignment horizontal="right" vertical="center" wrapText="1"/>
    </xf>
    <xf numFmtId="0" fontId="11" fillId="0" borderId="0" xfId="0" applyFont="1" applyAlignment="1">
      <alignment horizontal="left"/>
    </xf>
    <xf numFmtId="0" fontId="11" fillId="0" borderId="0" xfId="0" applyFont="1" applyFill="1" applyBorder="1" applyAlignment="1">
      <alignment horizontal="left"/>
    </xf>
    <xf numFmtId="0" fontId="11" fillId="0" borderId="0" xfId="0" applyFont="1" applyFill="1" applyBorder="1"/>
    <xf numFmtId="3" fontId="9" fillId="0" borderId="0" xfId="0" applyNumberFormat="1" applyFont="1" applyAlignment="1">
      <alignment horizontal="right" vertical="center" wrapText="1"/>
    </xf>
    <xf numFmtId="43" fontId="0" fillId="2" borderId="3" xfId="1" applyNumberFormat="1" applyFont="1" applyFill="1" applyBorder="1"/>
    <xf numFmtId="0" fontId="19" fillId="0" borderId="0" xfId="0" applyFont="1"/>
    <xf numFmtId="169" fontId="0" fillId="0" borderId="0" xfId="0" applyNumberFormat="1"/>
    <xf numFmtId="0" fontId="9" fillId="0" borderId="0" xfId="0" applyFont="1" applyAlignment="1">
      <alignment horizontal="left" vertical="center" wrapText="1"/>
    </xf>
    <xf numFmtId="0" fontId="9" fillId="0" borderId="0" xfId="0" applyFont="1" applyAlignment="1">
      <alignment horizontal="right" vertical="center" wrapText="1"/>
    </xf>
    <xf numFmtId="0" fontId="7" fillId="0" borderId="0" xfId="0" applyFont="1" applyAlignment="1">
      <alignment horizontal="left" vertical="center" wrapText="1"/>
    </xf>
    <xf numFmtId="0" fontId="7" fillId="0" borderId="0" xfId="0" applyFont="1" applyAlignment="1">
      <alignment horizontal="right" vertical="center" wrapText="1"/>
    </xf>
    <xf numFmtId="0" fontId="0" fillId="5" borderId="0" xfId="0" applyFill="1"/>
    <xf numFmtId="165" fontId="21" fillId="6" borderId="0" xfId="2" applyNumberFormat="1" applyFont="1" applyFill="1"/>
    <xf numFmtId="0" fontId="0" fillId="7" borderId="0" xfId="0" applyFill="1"/>
    <xf numFmtId="0" fontId="0" fillId="8" borderId="0" xfId="0" applyFill="1"/>
    <xf numFmtId="0" fontId="22" fillId="8" borderId="0" xfId="0" applyFont="1" applyFill="1"/>
    <xf numFmtId="0" fontId="20" fillId="8" borderId="0" xfId="0" applyFont="1" applyFill="1" applyAlignment="1">
      <alignment horizontal="left" vertical="center" wrapText="1"/>
    </xf>
    <xf numFmtId="168" fontId="0" fillId="7" borderId="0" xfId="0" applyNumberFormat="1" applyFill="1"/>
    <xf numFmtId="167" fontId="0" fillId="7" borderId="0" xfId="0" applyNumberFormat="1" applyFill="1"/>
    <xf numFmtId="2" fontId="0" fillId="7" borderId="0" xfId="0" applyNumberFormat="1" applyFill="1"/>
    <xf numFmtId="166" fontId="0" fillId="7" borderId="0" xfId="0" applyNumberFormat="1" applyFill="1"/>
    <xf numFmtId="1" fontId="0" fillId="7" borderId="0" xfId="0" applyNumberFormat="1" applyFill="1"/>
    <xf numFmtId="165" fontId="0" fillId="0" borderId="5" xfId="2" applyNumberFormat="1" applyFont="1" applyBorder="1"/>
    <xf numFmtId="0" fontId="0" fillId="0" borderId="0" xfId="0" applyFont="1"/>
    <xf numFmtId="9" fontId="0" fillId="0" borderId="0" xfId="0" applyNumberFormat="1"/>
    <xf numFmtId="9" fontId="0" fillId="0" borderId="5" xfId="0" applyNumberFormat="1" applyBorder="1"/>
    <xf numFmtId="0" fontId="11" fillId="4" borderId="8" xfId="0" applyFont="1" applyFill="1" applyBorder="1"/>
    <xf numFmtId="164" fontId="0" fillId="9" borderId="9" xfId="1" applyNumberFormat="1" applyFont="1" applyFill="1" applyBorder="1"/>
    <xf numFmtId="0" fontId="11" fillId="4" borderId="10" xfId="0" applyFont="1" applyFill="1" applyBorder="1"/>
    <xf numFmtId="164" fontId="0" fillId="9" borderId="11" xfId="1" applyNumberFormat="1" applyFont="1" applyFill="1" applyBorder="1"/>
    <xf numFmtId="0" fontId="11" fillId="4" borderId="12" xfId="0" applyFont="1" applyFill="1" applyBorder="1"/>
    <xf numFmtId="164" fontId="0" fillId="9" borderId="13" xfId="1" applyNumberFormat="1" applyFont="1" applyFill="1" applyBorder="1"/>
    <xf numFmtId="164" fontId="0" fillId="9" borderId="2" xfId="1" applyNumberFormat="1" applyFont="1" applyFill="1" applyBorder="1"/>
    <xf numFmtId="0" fontId="0" fillId="9" borderId="3" xfId="0" applyFill="1" applyBorder="1"/>
    <xf numFmtId="0" fontId="0" fillId="9" borderId="0" xfId="0" applyFill="1"/>
    <xf numFmtId="170" fontId="0" fillId="0" borderId="0" xfId="0" applyNumberFormat="1"/>
    <xf numFmtId="0" fontId="0" fillId="0" borderId="0" xfId="0"/>
    <xf numFmtId="0" fontId="11" fillId="0" borderId="0" xfId="0" applyFont="1"/>
    <xf numFmtId="164" fontId="0" fillId="0" borderId="0" xfId="0" applyNumberFormat="1"/>
    <xf numFmtId="165" fontId="0" fillId="0" borderId="0" xfId="2" applyNumberFormat="1" applyFont="1"/>
    <xf numFmtId="44" fontId="0" fillId="0" borderId="0" xfId="0" applyNumberFormat="1"/>
    <xf numFmtId="0" fontId="0" fillId="10" borderId="0" xfId="0" applyFill="1"/>
    <xf numFmtId="0" fontId="0" fillId="10" borderId="0" xfId="0" applyFill="1" applyAlignment="1">
      <alignment wrapText="1"/>
    </xf>
    <xf numFmtId="0" fontId="17" fillId="9" borderId="0" xfId="0" applyFont="1" applyFill="1"/>
    <xf numFmtId="0" fontId="18" fillId="9" borderId="0" xfId="0" applyFont="1" applyFill="1"/>
    <xf numFmtId="0" fontId="0" fillId="11" borderId="0" xfId="0" applyFill="1"/>
    <xf numFmtId="0" fontId="0" fillId="11" borderId="0" xfId="0" applyFill="1" applyAlignment="1">
      <alignment wrapText="1"/>
    </xf>
    <xf numFmtId="0" fontId="0" fillId="12" borderId="0" xfId="0" applyFill="1"/>
    <xf numFmtId="1" fontId="0" fillId="12" borderId="0" xfId="0" applyNumberFormat="1" applyFill="1"/>
    <xf numFmtId="0" fontId="0" fillId="9" borderId="0" xfId="0" applyFill="1" applyAlignment="1">
      <alignment horizontal="right"/>
    </xf>
    <xf numFmtId="1" fontId="0" fillId="9" borderId="0" xfId="0" applyNumberFormat="1" applyFill="1"/>
    <xf numFmtId="0" fontId="0" fillId="11" borderId="0" xfId="0" applyFill="1" applyAlignment="1">
      <alignment horizontal="right"/>
    </xf>
    <xf numFmtId="1" fontId="0" fillId="11" borderId="0" xfId="0" applyNumberFormat="1" applyFill="1" applyAlignment="1">
      <alignment horizontal="right"/>
    </xf>
    <xf numFmtId="0" fontId="17" fillId="0" borderId="0" xfId="0" applyFont="1"/>
    <xf numFmtId="0" fontId="18" fillId="0" borderId="0" xfId="0" applyFont="1"/>
    <xf numFmtId="1" fontId="17" fillId="0" borderId="0" xfId="0" applyNumberFormat="1" applyFont="1"/>
    <xf numFmtId="2" fontId="17" fillId="0" borderId="0" xfId="0" applyNumberFormat="1" applyFont="1"/>
    <xf numFmtId="1" fontId="0" fillId="11" borderId="0" xfId="0" applyNumberFormat="1" applyFill="1"/>
    <xf numFmtId="1" fontId="17" fillId="11" borderId="0" xfId="0" applyNumberFormat="1" applyFont="1" applyFill="1"/>
    <xf numFmtId="167" fontId="0" fillId="11" borderId="0" xfId="0" applyNumberFormat="1" applyFill="1"/>
    <xf numFmtId="167" fontId="17" fillId="0" borderId="0" xfId="0" applyNumberFormat="1" applyFont="1"/>
    <xf numFmtId="0" fontId="24" fillId="0" borderId="0" xfId="0" applyFont="1"/>
    <xf numFmtId="2" fontId="0" fillId="11" borderId="0" xfId="0" applyNumberFormat="1" applyFill="1"/>
    <xf numFmtId="0" fontId="17" fillId="13" borderId="0" xfId="0" applyFont="1" applyFill="1" applyAlignment="1">
      <alignment horizontal="right"/>
    </xf>
    <xf numFmtId="1" fontId="0" fillId="5" borderId="0" xfId="0" applyNumberFormat="1" applyFill="1"/>
    <xf numFmtId="0" fontId="0" fillId="5" borderId="0" xfId="0" applyFill="1" applyAlignment="1">
      <alignment horizontal="right"/>
    </xf>
    <xf numFmtId="0" fontId="25" fillId="0" borderId="0" xfId="0" applyFont="1"/>
    <xf numFmtId="1" fontId="0" fillId="5" borderId="0" xfId="0" applyNumberFormat="1" applyFill="1" applyAlignment="1">
      <alignment horizontal="right"/>
    </xf>
    <xf numFmtId="1" fontId="23" fillId="5" borderId="0" xfId="0" applyNumberFormat="1" applyFont="1" applyFill="1"/>
    <xf numFmtId="0" fontId="0" fillId="2" borderId="14" xfId="0" applyFill="1" applyBorder="1"/>
    <xf numFmtId="0" fontId="5" fillId="5" borderId="0" xfId="0" applyFont="1" applyFill="1" applyAlignment="1">
      <alignment horizontal="right" vertical="center" wrapText="1"/>
    </xf>
    <xf numFmtId="0" fontId="7" fillId="5" borderId="0" xfId="0" applyFont="1" applyFill="1" applyAlignment="1">
      <alignment horizontal="left" vertical="center" wrapText="1"/>
    </xf>
    <xf numFmtId="165" fontId="0" fillId="5" borderId="0" xfId="2" applyNumberFormat="1" applyFont="1" applyFill="1" applyAlignment="1">
      <alignment horizontal="right"/>
    </xf>
    <xf numFmtId="0" fontId="0" fillId="0" borderId="15" xfId="0" applyBorder="1"/>
    <xf numFmtId="166" fontId="0" fillId="0" borderId="0" xfId="0" applyNumberFormat="1" applyBorder="1"/>
    <xf numFmtId="0" fontId="0" fillId="4" borderId="0" xfId="0" applyFill="1"/>
    <xf numFmtId="9" fontId="0" fillId="4" borderId="0" xfId="3" applyFont="1" applyFill="1"/>
    <xf numFmtId="0" fontId="0" fillId="4" borderId="0" xfId="0" applyFill="1" applyAlignment="1">
      <alignment horizontal="right"/>
    </xf>
    <xf numFmtId="0" fontId="0" fillId="5" borderId="14" xfId="0" applyFill="1" applyBorder="1"/>
    <xf numFmtId="164" fontId="0" fillId="5" borderId="14" xfId="1" applyNumberFormat="1" applyFont="1" applyFill="1" applyBorder="1"/>
    <xf numFmtId="171" fontId="0" fillId="5" borderId="14" xfId="0" applyNumberFormat="1" applyFill="1" applyBorder="1"/>
    <xf numFmtId="172" fontId="0" fillId="0" borderId="0" xfId="0" applyNumberFormat="1"/>
    <xf numFmtId="0" fontId="4" fillId="0" borderId="0" xfId="0" applyFont="1" applyAlignment="1">
      <alignment horizontal="right" vertical="center" wrapText="1"/>
    </xf>
    <xf numFmtId="9" fontId="0" fillId="0" borderId="0" xfId="3" applyFont="1"/>
    <xf numFmtId="0" fontId="11" fillId="0" borderId="0" xfId="0" applyFont="1" applyAlignment="1">
      <alignment vertical="top"/>
    </xf>
    <xf numFmtId="0" fontId="0" fillId="0" borderId="0" xfId="0" applyAlignment="1"/>
    <xf numFmtId="0" fontId="26" fillId="9" borderId="0" xfId="0" applyFont="1" applyFill="1"/>
    <xf numFmtId="0" fontId="27" fillId="6" borderId="0" xfId="0" applyFont="1" applyFill="1"/>
    <xf numFmtId="0" fontId="21" fillId="6" borderId="0" xfId="0" applyFont="1" applyFill="1"/>
    <xf numFmtId="0" fontId="0" fillId="6" borderId="0" xfId="0" applyFill="1"/>
    <xf numFmtId="0" fontId="11" fillId="11" borderId="16" xfId="0" applyFont="1" applyFill="1" applyBorder="1" applyAlignment="1">
      <alignment horizontal="center" vertical="center"/>
    </xf>
    <xf numFmtId="0" fontId="11" fillId="11" borderId="16" xfId="0" applyFont="1" applyFill="1" applyBorder="1" applyAlignment="1">
      <alignment horizontal="center" vertical="center" wrapText="1"/>
    </xf>
    <xf numFmtId="0" fontId="0" fillId="6" borderId="16" xfId="0" applyFill="1" applyBorder="1"/>
    <xf numFmtId="0" fontId="0" fillId="11" borderId="17" xfId="0" applyFill="1" applyBorder="1"/>
    <xf numFmtId="0" fontId="0" fillId="6" borderId="17" xfId="0" applyFill="1" applyBorder="1"/>
    <xf numFmtId="0" fontId="0" fillId="11" borderId="15" xfId="0" applyFill="1" applyBorder="1"/>
    <xf numFmtId="0" fontId="0" fillId="6" borderId="15" xfId="0" applyFill="1" applyBorder="1"/>
    <xf numFmtId="0" fontId="0" fillId="11" borderId="16" xfId="0" applyFill="1" applyBorder="1"/>
    <xf numFmtId="1" fontId="0" fillId="6" borderId="16" xfId="0" applyNumberFormat="1" applyFill="1" applyBorder="1"/>
    <xf numFmtId="1" fontId="0" fillId="6" borderId="15" xfId="0" applyNumberFormat="1" applyFill="1" applyBorder="1"/>
    <xf numFmtId="0" fontId="0" fillId="11" borderId="0" xfId="0" applyFill="1" applyBorder="1"/>
    <xf numFmtId="167" fontId="0" fillId="11" borderId="0" xfId="0" applyNumberFormat="1" applyFill="1" applyBorder="1" applyAlignment="1">
      <alignment horizontal="center"/>
    </xf>
    <xf numFmtId="167" fontId="0" fillId="11" borderId="15" xfId="0" applyNumberFormat="1" applyFill="1" applyBorder="1" applyAlignment="1">
      <alignment horizontal="center"/>
    </xf>
    <xf numFmtId="167" fontId="0" fillId="6" borderId="0" xfId="0" applyNumberFormat="1" applyFill="1" applyBorder="1" applyAlignment="1">
      <alignment horizontal="center"/>
    </xf>
    <xf numFmtId="167" fontId="0" fillId="6" borderId="15" xfId="0" applyNumberFormat="1" applyFill="1" applyBorder="1" applyAlignment="1">
      <alignment horizontal="center"/>
    </xf>
    <xf numFmtId="166" fontId="0" fillId="6" borderId="0" xfId="0" applyNumberFormat="1" applyFill="1" applyBorder="1" applyAlignment="1">
      <alignment horizontal="center"/>
    </xf>
    <xf numFmtId="166" fontId="0" fillId="6" borderId="15" xfId="0" applyNumberFormat="1" applyFill="1" applyBorder="1" applyAlignment="1">
      <alignment horizontal="center"/>
    </xf>
    <xf numFmtId="167" fontId="0" fillId="11" borderId="15" xfId="0" applyNumberFormat="1" applyFill="1" applyBorder="1" applyAlignment="1">
      <alignment horizontal="left"/>
    </xf>
    <xf numFmtId="166" fontId="0" fillId="6" borderId="15" xfId="0" applyNumberFormat="1" applyFill="1" applyBorder="1" applyAlignment="1">
      <alignment horizontal="left"/>
    </xf>
    <xf numFmtId="169" fontId="0" fillId="11" borderId="0" xfId="0" applyNumberFormat="1" applyFill="1"/>
    <xf numFmtId="0" fontId="0" fillId="11" borderId="0" xfId="0" applyFill="1" applyBorder="1" applyAlignment="1">
      <alignment horizontal="right"/>
    </xf>
    <xf numFmtId="1" fontId="0" fillId="6" borderId="0" xfId="0" applyNumberFormat="1" applyFill="1" applyBorder="1" applyAlignment="1">
      <alignment horizontal="right"/>
    </xf>
    <xf numFmtId="0" fontId="11" fillId="14" borderId="0" xfId="0" applyFont="1" applyFill="1" applyBorder="1"/>
    <xf numFmtId="167" fontId="0" fillId="14" borderId="0" xfId="0" applyNumberFormat="1" applyFill="1" applyBorder="1" applyAlignment="1">
      <alignment horizontal="center"/>
    </xf>
    <xf numFmtId="166" fontId="0" fillId="14" borderId="0" xfId="0" applyNumberFormat="1" applyFill="1" applyBorder="1" applyAlignment="1">
      <alignment horizontal="center"/>
    </xf>
    <xf numFmtId="0" fontId="11" fillId="14" borderId="15" xfId="0" applyFont="1" applyFill="1" applyBorder="1"/>
    <xf numFmtId="167" fontId="0" fillId="14" borderId="15" xfId="0" applyNumberFormat="1" applyFill="1" applyBorder="1" applyAlignment="1">
      <alignment horizontal="center"/>
    </xf>
    <xf numFmtId="166" fontId="0" fillId="14" borderId="15" xfId="0" applyNumberFormat="1" applyFill="1" applyBorder="1" applyAlignment="1">
      <alignment horizontal="center"/>
    </xf>
    <xf numFmtId="0" fontId="0" fillId="14" borderId="0" xfId="0" applyFill="1" applyBorder="1"/>
    <xf numFmtId="0" fontId="0" fillId="14" borderId="15" xfId="0" applyFill="1" applyBorder="1"/>
    <xf numFmtId="0" fontId="0" fillId="14" borderId="0" xfId="0" applyFill="1"/>
    <xf numFmtId="167" fontId="0" fillId="14" borderId="0" xfId="0" applyNumberFormat="1" applyFill="1"/>
    <xf numFmtId="1" fontId="0" fillId="14" borderId="0" xfId="0" applyNumberFormat="1" applyFill="1"/>
    <xf numFmtId="1" fontId="17" fillId="14" borderId="0" xfId="0" applyNumberFormat="1" applyFont="1" applyFill="1"/>
    <xf numFmtId="0" fontId="11" fillId="14" borderId="0" xfId="0" applyFont="1" applyFill="1"/>
    <xf numFmtId="0" fontId="0" fillId="15" borderId="0" xfId="0" applyFill="1"/>
    <xf numFmtId="0" fontId="0" fillId="15" borderId="0" xfId="0" applyFill="1" applyAlignment="1">
      <alignment horizontal="right"/>
    </xf>
    <xf numFmtId="1" fontId="0" fillId="15" borderId="0" xfId="0" applyNumberFormat="1" applyFill="1"/>
    <xf numFmtId="0" fontId="0" fillId="16" borderId="0" xfId="0" applyFill="1"/>
    <xf numFmtId="0" fontId="11" fillId="11" borderId="0" xfId="0" applyFont="1" applyFill="1" applyAlignment="1">
      <alignment horizontal="center"/>
    </xf>
    <xf numFmtId="0" fontId="0" fillId="16" borderId="0" xfId="0" applyFill="1" applyAlignment="1">
      <alignment horizontal="center"/>
    </xf>
    <xf numFmtId="1" fontId="0" fillId="6" borderId="0" xfId="0" applyNumberFormat="1" applyFill="1" applyAlignment="1">
      <alignment horizontal="center"/>
    </xf>
    <xf numFmtId="1" fontId="0" fillId="16" borderId="0" xfId="0" applyNumberFormat="1" applyFill="1" applyAlignment="1">
      <alignment horizontal="center"/>
    </xf>
    <xf numFmtId="167" fontId="0" fillId="6" borderId="0" xfId="0" applyNumberFormat="1" applyFill="1" applyAlignment="1">
      <alignment horizontal="center"/>
    </xf>
    <xf numFmtId="1" fontId="0" fillId="6" borderId="17" xfId="0" applyNumberFormat="1" applyFill="1" applyBorder="1" applyAlignment="1">
      <alignment horizontal="center"/>
    </xf>
    <xf numFmtId="1" fontId="0" fillId="6" borderId="15" xfId="0" applyNumberFormat="1" applyFill="1" applyBorder="1" applyAlignment="1">
      <alignment horizontal="center"/>
    </xf>
    <xf numFmtId="0" fontId="0" fillId="17" borderId="0" xfId="0" applyFill="1"/>
    <xf numFmtId="0" fontId="28" fillId="7" borderId="0" xfId="0" applyFont="1" applyFill="1"/>
    <xf numFmtId="0" fontId="0" fillId="17" borderId="0" xfId="0" applyFill="1" applyAlignment="1">
      <alignment horizontal="center"/>
    </xf>
    <xf numFmtId="1" fontId="0" fillId="17" borderId="0" xfId="0" applyNumberFormat="1" applyFill="1" applyAlignment="1">
      <alignment horizontal="center"/>
    </xf>
    <xf numFmtId="0" fontId="0" fillId="7" borderId="0" xfId="0" applyFill="1" applyAlignment="1">
      <alignment horizontal="center"/>
    </xf>
    <xf numFmtId="1" fontId="0" fillId="7" borderId="0" xfId="0" applyNumberFormat="1" applyFill="1" applyAlignment="1">
      <alignment horizontal="center"/>
    </xf>
    <xf numFmtId="0" fontId="31" fillId="0" borderId="0" xfId="0" applyFont="1"/>
    <xf numFmtId="1" fontId="29" fillId="5" borderId="0" xfId="0" applyNumberFormat="1" applyFont="1" applyFill="1"/>
    <xf numFmtId="0" fontId="32" fillId="0" borderId="0" xfId="0" applyFont="1"/>
    <xf numFmtId="0" fontId="33" fillId="0" borderId="0" xfId="0" applyFont="1"/>
    <xf numFmtId="0" fontId="33" fillId="6" borderId="0" xfId="0" applyFont="1" applyFill="1"/>
    <xf numFmtId="167" fontId="0" fillId="9" borderId="0" xfId="0" applyNumberFormat="1" applyFill="1"/>
    <xf numFmtId="2" fontId="0" fillId="9" borderId="0" xfId="0" applyNumberFormat="1" applyFill="1"/>
    <xf numFmtId="0" fontId="30" fillId="15" borderId="0" xfId="0" applyFont="1" applyFill="1"/>
    <xf numFmtId="2" fontId="0" fillId="15" borderId="0" xfId="0" applyNumberFormat="1" applyFill="1" applyAlignment="1">
      <alignment horizontal="right"/>
    </xf>
    <xf numFmtId="0" fontId="35" fillId="0" borderId="0" xfId="0" applyFont="1"/>
    <xf numFmtId="0" fontId="34" fillId="18" borderId="0" xfId="0" applyFont="1" applyFill="1"/>
    <xf numFmtId="0" fontId="0" fillId="18" borderId="0" xfId="0" applyFill="1"/>
    <xf numFmtId="0" fontId="0" fillId="18" borderId="0" xfId="0" applyFill="1" applyAlignment="1">
      <alignment horizontal="center"/>
    </xf>
    <xf numFmtId="1" fontId="11" fillId="18" borderId="0" xfId="0" applyNumberFormat="1" applyFont="1" applyFill="1" applyAlignment="1">
      <alignment horizontal="center"/>
    </xf>
    <xf numFmtId="1" fontId="0" fillId="0" borderId="5" xfId="0" applyNumberFormat="1" applyBorder="1"/>
    <xf numFmtId="0" fontId="0" fillId="19" borderId="0" xfId="0" applyFill="1"/>
    <xf numFmtId="0" fontId="0" fillId="7" borderId="1" xfId="0" applyFill="1" applyBorder="1"/>
    <xf numFmtId="0" fontId="22" fillId="20" borderId="0" xfId="0" applyFont="1" applyFill="1"/>
    <xf numFmtId="0" fontId="18" fillId="6" borderId="6" xfId="0" applyFont="1" applyFill="1" applyBorder="1" applyAlignment="1">
      <alignment horizontal="left" vertical="center" wrapText="1"/>
    </xf>
    <xf numFmtId="0" fontId="18" fillId="6" borderId="6" xfId="0" applyFont="1" applyFill="1" applyBorder="1" applyAlignment="1">
      <alignment horizontal="right" vertical="center" wrapText="1"/>
    </xf>
    <xf numFmtId="0" fontId="17" fillId="6" borderId="0"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7" xfId="0" applyFont="1" applyFill="1" applyBorder="1" applyAlignment="1">
      <alignment horizontal="left" vertical="center" wrapText="1"/>
    </xf>
    <xf numFmtId="0" fontId="17" fillId="6" borderId="0" xfId="0" applyFont="1" applyFill="1" applyBorder="1" applyAlignment="1">
      <alignment horizontal="left" vertical="center"/>
    </xf>
    <xf numFmtId="0" fontId="3" fillId="6" borderId="0" xfId="0" applyFont="1" applyFill="1" applyAlignment="1">
      <alignment horizontal="right" vertical="center" wrapText="1"/>
    </xf>
    <xf numFmtId="0" fontId="3" fillId="6" borderId="7" xfId="0" applyFont="1" applyFill="1" applyBorder="1" applyAlignment="1">
      <alignment horizontal="right" vertical="center" wrapText="1"/>
    </xf>
    <xf numFmtId="0" fontId="3" fillId="6" borderId="0"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0" fillId="21" borderId="18" xfId="0" applyFill="1" applyBorder="1"/>
    <xf numFmtId="0" fontId="18" fillId="21" borderId="19" xfId="0" applyFont="1" applyFill="1" applyBorder="1" applyAlignment="1">
      <alignment horizontal="right" vertical="center" wrapText="1"/>
    </xf>
    <xf numFmtId="0" fontId="17" fillId="21" borderId="20" xfId="0" applyFont="1" applyFill="1" applyBorder="1" applyAlignment="1">
      <alignment horizontal="left" vertical="center" wrapText="1"/>
    </xf>
    <xf numFmtId="2" fontId="0" fillId="21" borderId="20" xfId="0" applyNumberFormat="1" applyFill="1" applyBorder="1"/>
    <xf numFmtId="2" fontId="0" fillId="21" borderId="21" xfId="0" applyNumberFormat="1" applyFill="1" applyBorder="1"/>
    <xf numFmtId="0" fontId="3" fillId="21" borderId="20" xfId="0" applyFont="1" applyFill="1" applyBorder="1" applyAlignment="1">
      <alignment horizontal="right" vertical="center" wrapText="1"/>
    </xf>
    <xf numFmtId="0" fontId="3" fillId="21" borderId="21" xfId="0" applyFont="1" applyFill="1" applyBorder="1" applyAlignment="1">
      <alignment horizontal="right" vertical="center" wrapText="1"/>
    </xf>
    <xf numFmtId="166" fontId="2" fillId="0" borderId="7" xfId="0" applyNumberFormat="1" applyFont="1" applyBorder="1" applyAlignment="1">
      <alignment horizontal="right" vertical="center" wrapText="1"/>
    </xf>
    <xf numFmtId="166" fontId="0" fillId="6" borderId="0" xfId="0" applyNumberFormat="1" applyFill="1" applyBorder="1"/>
    <xf numFmtId="166" fontId="0" fillId="6" borderId="15" xfId="0" applyNumberFormat="1" applyFill="1" applyBorder="1"/>
    <xf numFmtId="0" fontId="0" fillId="2" borderId="22" xfId="0" applyFill="1" applyBorder="1"/>
    <xf numFmtId="165" fontId="0" fillId="2" borderId="23" xfId="2" applyNumberFormat="1" applyFont="1" applyFill="1" applyBorder="1"/>
    <xf numFmtId="0" fontId="38" fillId="0" borderId="0" xfId="4"/>
    <xf numFmtId="0" fontId="29" fillId="0" borderId="0" xfId="0" applyFont="1" applyAlignment="1">
      <alignment horizontal="left" indent="1"/>
    </xf>
    <xf numFmtId="0" fontId="0" fillId="0" borderId="0" xfId="0" applyAlignment="1">
      <alignment horizontal="left" indent="1"/>
    </xf>
    <xf numFmtId="0" fontId="38" fillId="0" borderId="0" xfId="4" applyAlignment="1">
      <alignment horizontal="left" indent="1"/>
    </xf>
    <xf numFmtId="0" fontId="39" fillId="0" borderId="0" xfId="0" applyFont="1" applyAlignment="1">
      <alignment vertical="center"/>
    </xf>
    <xf numFmtId="0" fontId="40" fillId="0" borderId="0" xfId="0" applyFont="1" applyAlignment="1">
      <alignment horizontal="justify" vertical="center" wrapText="1"/>
    </xf>
    <xf numFmtId="0" fontId="0" fillId="0" borderId="0" xfId="0" applyAlignment="1">
      <alignment wrapText="1"/>
    </xf>
    <xf numFmtId="0" fontId="9" fillId="0" borderId="0" xfId="0" applyFont="1" applyAlignment="1">
      <alignment horizontal="left" vertical="center" wrapText="1"/>
    </xf>
    <xf numFmtId="0" fontId="9" fillId="0" borderId="0" xfId="0" applyFont="1" applyAlignment="1">
      <alignment horizontal="right" vertical="center" wrapText="1"/>
    </xf>
    <xf numFmtId="0" fontId="7" fillId="0" borderId="0" xfId="0" applyFont="1" applyAlignment="1">
      <alignment horizontal="left" vertical="center" wrapText="1"/>
    </xf>
    <xf numFmtId="0" fontId="8" fillId="0" borderId="0" xfId="0" applyFont="1" applyAlignment="1">
      <alignment horizontal="right" vertical="center" wrapText="1"/>
    </xf>
    <xf numFmtId="0" fontId="4" fillId="0" borderId="0" xfId="0" applyFont="1" applyAlignment="1">
      <alignment horizontal="right" vertical="center" wrapText="1"/>
    </xf>
    <xf numFmtId="0" fontId="6" fillId="0" borderId="0" xfId="0" applyFont="1" applyAlignment="1">
      <alignment horizontal="right"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val>
            <c:numRef>
              <c:f>'One off'!$G$11:$G$25</c:f>
              <c:numCache>
                <c:formatCode>General</c:formatCode>
                <c:ptCount val="15"/>
                <c:pt idx="0">
                  <c:v>1.6068175691457869E-3</c:v>
                </c:pt>
                <c:pt idx="1">
                  <c:v>1.3481020582454931E-2</c:v>
                </c:pt>
                <c:pt idx="2">
                  <c:v>3.660243529476951E-2</c:v>
                </c:pt>
                <c:pt idx="3">
                  <c:v>7.602570170570315E-2</c:v>
                </c:pt>
                <c:pt idx="4">
                  <c:v>0.13505175737482314</c:v>
                </c:pt>
                <c:pt idx="5">
                  <c:v>0.21327754884203476</c:v>
                </c:pt>
                <c:pt idx="6">
                  <c:v>0.30614161290927916</c:v>
                </c:pt>
                <c:pt idx="7">
                  <c:v>0.4063105523127552</c:v>
                </c:pt>
                <c:pt idx="8">
                  <c:v>0.5059726089652018</c:v>
                </c:pt>
                <c:pt idx="9">
                  <c:v>0.59876866447563959</c:v>
                </c:pt>
                <c:pt idx="10">
                  <c:v>0.68069458497606672</c:v>
                </c:pt>
                <c:pt idx="11">
                  <c:v>0.75005408572035015</c:v>
                </c:pt>
                <c:pt idx="12">
                  <c:v>0.80689375436165844</c:v>
                </c:pt>
                <c:pt idx="13">
                  <c:v>0.8523236040212171</c:v>
                </c:pt>
                <c:pt idx="14">
                  <c:v>0.887949757544233</c:v>
                </c:pt>
              </c:numCache>
            </c:numRef>
          </c:val>
          <c:smooth val="0"/>
        </c:ser>
        <c:dLbls>
          <c:showLegendKey val="0"/>
          <c:showVal val="0"/>
          <c:showCatName val="0"/>
          <c:showSerName val="0"/>
          <c:showPercent val="0"/>
          <c:showBubbleSize val="0"/>
        </c:dLbls>
        <c:marker val="1"/>
        <c:smooth val="0"/>
        <c:axId val="148738816"/>
        <c:axId val="148740352"/>
      </c:lineChart>
      <c:catAx>
        <c:axId val="148738816"/>
        <c:scaling>
          <c:orientation val="minMax"/>
        </c:scaling>
        <c:delete val="0"/>
        <c:axPos val="b"/>
        <c:majorTickMark val="out"/>
        <c:minorTickMark val="none"/>
        <c:tickLblPos val="nextTo"/>
        <c:crossAx val="148740352"/>
        <c:crosses val="autoZero"/>
        <c:auto val="1"/>
        <c:lblAlgn val="ctr"/>
        <c:lblOffset val="100"/>
        <c:noMultiLvlLbl val="0"/>
      </c:catAx>
      <c:valAx>
        <c:axId val="148740352"/>
        <c:scaling>
          <c:orientation val="minMax"/>
        </c:scaling>
        <c:delete val="0"/>
        <c:axPos val="l"/>
        <c:majorGridlines/>
        <c:numFmt formatCode="General" sourceLinked="1"/>
        <c:majorTickMark val="out"/>
        <c:minorTickMark val="none"/>
        <c:tickLblPos val="nextTo"/>
        <c:crossAx val="148738816"/>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7.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60960</xdr:colOff>
      <xdr:row>0</xdr:row>
      <xdr:rowOff>114300</xdr:rowOff>
    </xdr:from>
    <xdr:to>
      <xdr:col>13</xdr:col>
      <xdr:colOff>594360</xdr:colOff>
      <xdr:row>24</xdr:row>
      <xdr:rowOff>160020</xdr:rowOff>
    </xdr:to>
    <xdr:sp macro="" textlink="">
      <xdr:nvSpPr>
        <xdr:cNvPr id="2" name="TextBox 1"/>
        <xdr:cNvSpPr txBox="1"/>
      </xdr:nvSpPr>
      <xdr:spPr>
        <a:xfrm>
          <a:off x="60960" y="114300"/>
          <a:ext cx="8478838" cy="4657408"/>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solidFill>
                <a:schemeClr val="dk1"/>
              </a:solidFill>
              <a:latin typeface="+mn-lt"/>
              <a:ea typeface="+mn-ea"/>
              <a:cs typeface="+mn-cs"/>
            </a:rPr>
            <a:t>The costs and benefits of demand management for households </a:t>
          </a:r>
          <a:r>
            <a:rPr lang="en-AU" sz="1400" b="1"/>
            <a:t>(spreadsheet)</a:t>
          </a:r>
        </a:p>
        <a:p>
          <a:endParaRPr lang="en-AU" sz="1100"/>
        </a:p>
        <a:p>
          <a:pPr marL="0" marR="0" indent="0" defTabSz="914400" eaLnBrk="1" fontAlgn="auto" latinLnBrk="0" hangingPunct="1">
            <a:lnSpc>
              <a:spcPct val="100000"/>
            </a:lnSpc>
            <a:spcBef>
              <a:spcPts val="0"/>
            </a:spcBef>
            <a:spcAft>
              <a:spcPts val="0"/>
            </a:spcAft>
            <a:buClrTx/>
            <a:buSzTx/>
            <a:buFontTx/>
            <a:buNone/>
            <a:tabLst/>
            <a:defRPr/>
          </a:pPr>
          <a:r>
            <a:rPr lang="en-AU" sz="1100"/>
            <a:t>As part of the inquiry into </a:t>
          </a:r>
          <a:r>
            <a:rPr lang="en-AU" sz="1100" i="1"/>
            <a:t>Electricity Network Regulation</a:t>
          </a:r>
          <a:r>
            <a:rPr lang="en-AU" sz="1100" i="0"/>
            <a:t>, the Commission quantitatively explored the relative merits of different demand management approaches. The analysis is intended to assist the Commission</a:t>
          </a:r>
          <a:r>
            <a:rPr lang="en-AU" sz="1100" i="0" baseline="0"/>
            <a:t> in drawing out relevant implications for issues of demand management addressed in the report - and particularly for supporting recommendations. </a:t>
          </a:r>
          <a:r>
            <a:rPr lang="en-AU" sz="1100" i="0" baseline="0">
              <a:solidFill>
                <a:schemeClr val="dk1"/>
              </a:solidFill>
              <a:effectLst/>
              <a:latin typeface="+mn-lt"/>
              <a:ea typeface="+mn-ea"/>
              <a:cs typeface="+mn-cs"/>
            </a:rPr>
            <a:t>The purpose of the calculations is to illustrate the effects of different DM strategies and how these may affect outcomes. Readers can also manipulate model parameters or use the spreadsheet as the basis for other experiments. It is NOT intended to give precise estimates, which ranges have been used for all scenarios.</a:t>
          </a:r>
          <a:endParaRPr lang="en-AU">
            <a:effectLst/>
          </a:endParaRPr>
        </a:p>
        <a:p>
          <a:endParaRPr lang="en-AU" sz="1100" i="0" baseline="0"/>
        </a:p>
        <a:p>
          <a:r>
            <a:rPr lang="en-AU" sz="1100" i="0" baseline="0"/>
            <a:t>As such, the Commission has not independently prepared detailed assumptions concerning the implementation of smart meters, but instead, drawn on assumptions used in previous cost benefit analysis and on actual data from the recent roll out of smart meters in Victoria. By using consistent assumptions across scenarios, conclusions about the relative merits of different approaches can still be drawn.</a:t>
          </a:r>
        </a:p>
        <a:p>
          <a:endParaRPr lang="en-AU" sz="1100" i="0" baseline="0"/>
        </a:p>
        <a:p>
          <a:r>
            <a:rPr lang="en-AU" sz="1100" i="0" baseline="0"/>
            <a:t>A range of scenarios have been examined, with the cost benefit ratios outlined in the </a:t>
          </a:r>
          <a:r>
            <a:rPr lang="en-AU" sz="1100" i="1" baseline="0"/>
            <a:t>Summary</a:t>
          </a:r>
          <a:r>
            <a:rPr lang="en-AU" sz="1100" i="0" baseline="0"/>
            <a:t> tab. For each scenario, a low, mid and high case has been developed. The low case takes assumptions entailing the highest costs and lowest benefits that have been identified (as primarily outlined in the </a:t>
          </a:r>
          <a:r>
            <a:rPr lang="en-AU" sz="1100" i="1" baseline="0"/>
            <a:t>Assumption parameters</a:t>
          </a:r>
          <a:r>
            <a:rPr lang="en-AU" sz="1100" i="0" baseline="0"/>
            <a:t> tab). Red boxes on the </a:t>
          </a:r>
          <a:r>
            <a:rPr lang="en-AU" sz="1100" i="1" baseline="0"/>
            <a:t>Assumption parameters</a:t>
          </a:r>
          <a:r>
            <a:rPr lang="en-AU" sz="1100" i="0" baseline="0"/>
            <a:t> tab are parameterised variables that will automatically flow through to the scenario calculations.</a:t>
          </a:r>
        </a:p>
        <a:p>
          <a:endParaRPr lang="en-AU" sz="1100" i="0" baseline="0"/>
        </a:p>
        <a:p>
          <a:r>
            <a:rPr lang="en-AU" sz="1100" i="0" baseline="0"/>
            <a:t>The </a:t>
          </a:r>
          <a:r>
            <a:rPr lang="en-AU" sz="1100" i="1" baseline="0"/>
            <a:t>References</a:t>
          </a:r>
          <a:r>
            <a:rPr lang="en-AU" sz="1100" i="0" baseline="0"/>
            <a:t> tab includes the bibliographical information of studies drawn on for this analysis.</a:t>
          </a:r>
        </a:p>
        <a:p>
          <a:endParaRPr lang="en-AU" sz="1100" i="0" baseline="0"/>
        </a:p>
        <a:p>
          <a:r>
            <a:rPr lang="en-AU" sz="1100" i="0" baseline="0"/>
            <a:t>The spreadsheet also includes the (separate) calculations on the size of the subsidy to air conditioning during critical peak periods.</a:t>
          </a:r>
        </a:p>
        <a:p>
          <a:endParaRPr lang="en-AU" sz="1100" i="0" baseline="0"/>
        </a:p>
        <a:p>
          <a:endParaRPr lang="en-AU" sz="1100" i="0" baseline="0"/>
        </a:p>
        <a:p>
          <a:r>
            <a:rPr lang="en-AU" sz="1100" i="0" baseline="0"/>
            <a:t>This publication should be referenced as:</a:t>
          </a:r>
        </a:p>
        <a:p>
          <a:endParaRPr lang="en-AU" sz="1100" i="0" baseline="0"/>
        </a:p>
        <a:p>
          <a:r>
            <a:rPr lang="en-AU" sz="1100" i="0" baseline="0"/>
            <a:t>Productivity Commission 2013, </a:t>
          </a:r>
          <a:r>
            <a:rPr lang="en-AU" sz="1100" i="1" baseline="0"/>
            <a:t>The costs and benefits of demand management for households</a:t>
          </a:r>
          <a:r>
            <a:rPr lang="en-AU" sz="1100" i="0" baseline="0"/>
            <a:t>, Supplement to inquiry report on Electricity Network Regulatory Frameworks, 9 April.</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28574</xdr:colOff>
      <xdr:row>25</xdr:row>
      <xdr:rowOff>180975</xdr:rowOff>
    </xdr:from>
    <xdr:to>
      <xdr:col>5</xdr:col>
      <xdr:colOff>933449</xdr:colOff>
      <xdr:row>32</xdr:row>
      <xdr:rowOff>0</xdr:rowOff>
    </xdr:to>
    <xdr:sp macro="" textlink="">
      <xdr:nvSpPr>
        <xdr:cNvPr id="3" name="TextBox 2"/>
        <xdr:cNvSpPr txBox="1"/>
      </xdr:nvSpPr>
      <xdr:spPr>
        <a:xfrm>
          <a:off x="28574" y="5305425"/>
          <a:ext cx="9953625"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Note:</a:t>
          </a:r>
          <a:r>
            <a:rPr lang="en-AU" sz="1100" b="1" baseline="0"/>
            <a:t> </a:t>
          </a:r>
          <a:r>
            <a:rPr lang="en-AU" sz="1100" baseline="0">
              <a:solidFill>
                <a:schemeClr val="dk1"/>
              </a:solidFill>
              <a:effectLst/>
              <a:latin typeface="+mn-lt"/>
              <a:ea typeface="+mn-ea"/>
              <a:cs typeface="+mn-cs"/>
            </a:rPr>
            <a:t>p1 and p0 are prices after and before cost-reflective pricing. </a:t>
          </a:r>
          <a:r>
            <a:rPr lang="en-AU" sz="1100"/>
            <a:t>Given q0 is starting</a:t>
          </a:r>
          <a:r>
            <a:rPr lang="en-AU" sz="1100" baseline="0"/>
            <a:t> value of demand, and q1 the level of demand following the price change, the network saving from reductions in peak energy use  is equal to (q0-q1)* the value of network savings from each MW of lower demand. Now  </a:t>
          </a:r>
          <a:r>
            <a:rPr lang="en-AU" sz="1100" baseline="0">
              <a:solidFill>
                <a:schemeClr val="dk1"/>
              </a:solidFill>
              <a:effectLst/>
              <a:latin typeface="Symbol" pitchFamily="18" charset="2"/>
              <a:ea typeface="+mn-ea"/>
              <a:cs typeface="+mn-cs"/>
            </a:rPr>
            <a:t>e</a:t>
          </a:r>
          <a:r>
            <a:rPr lang="en-AU" sz="1100">
              <a:solidFill>
                <a:schemeClr val="dk1"/>
              </a:solidFill>
              <a:effectLst/>
              <a:latin typeface="+mn-lt"/>
              <a:ea typeface="+mn-ea"/>
              <a:cs typeface="+mn-cs"/>
            </a:rPr>
            <a:t> = elasticity</a:t>
          </a:r>
          <a:r>
            <a:rPr lang="en-AU" sz="1100" baseline="0">
              <a:solidFill>
                <a:schemeClr val="dk1"/>
              </a:solidFill>
              <a:effectLst/>
              <a:latin typeface="+mn-lt"/>
              <a:ea typeface="+mn-ea"/>
              <a:cs typeface="+mn-cs"/>
            </a:rPr>
            <a:t>  = dlog(q)/dlog(p) so that log(q1/q0) = </a:t>
          </a:r>
          <a:r>
            <a:rPr lang="en-AU" sz="1100" baseline="0">
              <a:solidFill>
                <a:schemeClr val="dk1"/>
              </a:solidFill>
              <a:effectLst/>
              <a:latin typeface="Symbol" pitchFamily="18" charset="2"/>
              <a:ea typeface="+mn-ea"/>
              <a:cs typeface="+mn-cs"/>
            </a:rPr>
            <a:t>e</a:t>
          </a:r>
          <a:r>
            <a:rPr lang="en-AU" sz="1100" baseline="0">
              <a:solidFill>
                <a:schemeClr val="dk1"/>
              </a:solidFill>
              <a:effectLst/>
              <a:latin typeface="+mn-lt"/>
              <a:ea typeface="+mn-ea"/>
              <a:cs typeface="+mn-cs"/>
            </a:rPr>
            <a:t>*log(p1/p0). Accordingly q1/q0 = exp(</a:t>
          </a:r>
          <a:r>
            <a:rPr lang="en-AU" sz="1100" baseline="0">
              <a:solidFill>
                <a:schemeClr val="dk1"/>
              </a:solidFill>
              <a:effectLst/>
              <a:latin typeface="Symbol" pitchFamily="18" charset="2"/>
              <a:ea typeface="+mn-ea"/>
              <a:cs typeface="+mn-cs"/>
            </a:rPr>
            <a:t>e</a:t>
          </a:r>
          <a:r>
            <a:rPr lang="en-AU" sz="1100" baseline="0">
              <a:solidFill>
                <a:schemeClr val="dk1"/>
              </a:solidFill>
              <a:effectLst/>
              <a:latin typeface="+mn-lt"/>
              <a:ea typeface="+mn-ea"/>
              <a:cs typeface="+mn-cs"/>
            </a:rPr>
            <a:t>*log(p1/p0)) and  the MW savings = q0-q1 = q0(1-exp(</a:t>
          </a:r>
          <a:r>
            <a:rPr lang="en-AU" sz="1100" baseline="0">
              <a:solidFill>
                <a:schemeClr val="dk1"/>
              </a:solidFill>
              <a:effectLst/>
              <a:latin typeface="Symbol" pitchFamily="18" charset="2"/>
              <a:ea typeface="+mn-ea"/>
              <a:cs typeface="+mn-cs"/>
            </a:rPr>
            <a:t>e</a:t>
          </a:r>
          <a:r>
            <a:rPr lang="en-AU" sz="1100" baseline="0">
              <a:solidFill>
                <a:schemeClr val="dk1"/>
              </a:solidFill>
              <a:effectLst/>
              <a:latin typeface="+mn-lt"/>
              <a:ea typeface="+mn-ea"/>
              <a:cs typeface="+mn-cs"/>
            </a:rPr>
            <a:t>*log(p1/p0))). This needs to be multiplied by the value of network and generation savings per unit of energy reduced. Note the elasticity shown as  elasticity_high  is the absolute value of the elasticity, whereas the </a:t>
          </a:r>
          <a:r>
            <a:rPr lang="en-AU" sz="1100" baseline="0">
              <a:solidFill>
                <a:schemeClr val="dk1"/>
              </a:solidFill>
              <a:effectLst/>
              <a:latin typeface="Symbol" pitchFamily="18" charset="2"/>
              <a:ea typeface="+mn-ea"/>
              <a:cs typeface="+mn-cs"/>
            </a:rPr>
            <a:t>e</a:t>
          </a:r>
          <a:r>
            <a:rPr lang="en-AU" sz="1100" baseline="0">
              <a:solidFill>
                <a:schemeClr val="dk1"/>
              </a:solidFill>
              <a:effectLst/>
              <a:latin typeface="+mn-lt"/>
              <a:ea typeface="+mn-ea"/>
              <a:cs typeface="+mn-cs"/>
            </a:rPr>
            <a:t> used in the calculation is the negative of that value. </a:t>
          </a:r>
          <a:r>
            <a:rPr lang="en-AU" sz="1100">
              <a:solidFill>
                <a:schemeClr val="dk1"/>
              </a:solidFill>
              <a:latin typeface="+mn-lt"/>
              <a:ea typeface="+mn-ea"/>
              <a:cs typeface="+mn-cs"/>
            </a:rPr>
            <a:t>It is assumed that it takes  7 years before there</a:t>
          </a:r>
          <a:r>
            <a:rPr lang="en-AU" sz="1100" baseline="0">
              <a:solidFill>
                <a:schemeClr val="dk1"/>
              </a:solidFill>
              <a:latin typeface="+mn-lt"/>
              <a:ea typeface="+mn-ea"/>
              <a:cs typeface="+mn-cs"/>
            </a:rPr>
            <a:t> is a full demand response. q1 and q0 are quantities of power after and before price changes. </a:t>
          </a:r>
          <a:endParaRPr lang="en-AU" sz="1100">
            <a:solidFill>
              <a:schemeClr val="dk1"/>
            </a:solidFill>
            <a:latin typeface="+mn-lt"/>
            <a:ea typeface="+mn-ea"/>
            <a:cs typeface="+mn-cs"/>
          </a:endParaRPr>
        </a:p>
      </xdr:txBody>
    </xdr:sp>
    <xdr:clientData/>
  </xdr:twoCellAnchor>
  <xdr:twoCellAnchor>
    <xdr:from>
      <xdr:col>9</xdr:col>
      <xdr:colOff>657225</xdr:colOff>
      <xdr:row>28</xdr:row>
      <xdr:rowOff>95250</xdr:rowOff>
    </xdr:from>
    <xdr:to>
      <xdr:col>14</xdr:col>
      <xdr:colOff>733425</xdr:colOff>
      <xdr:row>38</xdr:row>
      <xdr:rowOff>28575</xdr:rowOff>
    </xdr:to>
    <xdr:sp macro="" textlink="">
      <xdr:nvSpPr>
        <xdr:cNvPr id="2" name="TextBox 1"/>
        <xdr:cNvSpPr txBox="1"/>
      </xdr:nvSpPr>
      <xdr:spPr>
        <a:xfrm>
          <a:off x="14173200" y="5610225"/>
          <a:ext cx="6153150" cy="196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Note:</a:t>
          </a:r>
        </a:p>
        <a:p>
          <a:r>
            <a:rPr lang="en-AU" sz="1100"/>
            <a:t>In this calculation, there is a  benefit from deferring a large lumpy investment by one year, with the potential that the value of any given reduction of kVA is worth more than its LRMC. For example, Ausgrid examined its Balgowlah zone substation build,  which would have cost $25m, and found that a 2.7MVA load reduction would defer the supply-side proposal by one year. </a:t>
          </a:r>
        </a:p>
        <a:p>
          <a:endParaRPr lang="en-AU" sz="1100"/>
        </a:p>
        <a:p>
          <a:r>
            <a:rPr lang="en-AU" sz="1100"/>
            <a:t>Given it is usually growth in max demand that creates the need for augmentation, small DM savings are unlikely to defer a project by one full year (though perhaps by some shorter period). </a:t>
          </a:r>
        </a:p>
        <a:p>
          <a:endParaRPr lang="en-AU" sz="1100"/>
        </a:p>
        <a:p>
          <a:r>
            <a:rPr lang="en-AU" sz="1100"/>
            <a:t>Since the model is illustrative, we have assumed that the size of the deferred project is $25 million per 3.492 MW saving from DM. </a:t>
          </a:r>
        </a:p>
        <a:p>
          <a:endParaRPr lang="en-AU" sz="1100"/>
        </a:p>
        <a:p>
          <a:endParaRPr lang="en-AU" sz="1100"/>
        </a:p>
      </xdr:txBody>
    </xdr:sp>
    <xdr:clientData/>
  </xdr:twoCellAnchor>
  <xdr:twoCellAnchor>
    <xdr:from>
      <xdr:col>0</xdr:col>
      <xdr:colOff>1838325</xdr:colOff>
      <xdr:row>1</xdr:row>
      <xdr:rowOff>180975</xdr:rowOff>
    </xdr:from>
    <xdr:to>
      <xdr:col>9</xdr:col>
      <xdr:colOff>657225</xdr:colOff>
      <xdr:row>33</xdr:row>
      <xdr:rowOff>9525</xdr:rowOff>
    </xdr:to>
    <xdr:cxnSp macro="">
      <xdr:nvCxnSpPr>
        <xdr:cNvPr id="5" name="Straight Arrow Connector 4"/>
        <xdr:cNvCxnSpPr>
          <a:endCxn id="2" idx="1"/>
        </xdr:cNvCxnSpPr>
      </xdr:nvCxnSpPr>
      <xdr:spPr>
        <a:xfrm>
          <a:off x="1838325" y="495300"/>
          <a:ext cx="12334875" cy="6096000"/>
        </a:xfrm>
        <a:prstGeom prst="straightConnector1">
          <a:avLst/>
        </a:prstGeom>
        <a:ln w="19050">
          <a:tailEnd type="arrow"/>
        </a:ln>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114299</xdr:colOff>
      <xdr:row>17</xdr:row>
      <xdr:rowOff>104775</xdr:rowOff>
    </xdr:from>
    <xdr:to>
      <xdr:col>21</xdr:col>
      <xdr:colOff>257175</xdr:colOff>
      <xdr:row>21</xdr:row>
      <xdr:rowOff>95250</xdr:rowOff>
    </xdr:to>
    <xdr:sp macro="" textlink="">
      <xdr:nvSpPr>
        <xdr:cNvPr id="2" name="TextBox 1"/>
        <xdr:cNvSpPr txBox="1"/>
      </xdr:nvSpPr>
      <xdr:spPr>
        <a:xfrm>
          <a:off x="9648824" y="3581400"/>
          <a:ext cx="6848476"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Source and notes: All green shaded  figures are from Deloitte 2011a, p. 13 and are in $million npv. They include avoided costs from the AMI program, efficiencies of network management and other benefits excluding from innovative tariffs and demand management. There are 2.66 million meters.  Meters have a 15 year life. A discount rate of 8% is assumed. The</a:t>
          </a:r>
          <a:r>
            <a:rPr lang="en-AU" sz="1100" baseline="0"/>
            <a:t> annuity over the 15 year value is calculated</a:t>
          </a:r>
          <a:endParaRPr lang="en-AU" sz="1100"/>
        </a:p>
        <a:p>
          <a:endParaRPr lang="en-AU" sz="1100"/>
        </a:p>
      </xdr:txBody>
    </xdr:sp>
    <xdr:clientData/>
  </xdr:twoCellAnchor>
  <xdr:twoCellAnchor>
    <xdr:from>
      <xdr:col>10</xdr:col>
      <xdr:colOff>133350</xdr:colOff>
      <xdr:row>21</xdr:row>
      <xdr:rowOff>123826</xdr:rowOff>
    </xdr:from>
    <xdr:to>
      <xdr:col>21</xdr:col>
      <xdr:colOff>295275</xdr:colOff>
      <xdr:row>22</xdr:row>
      <xdr:rowOff>180976</xdr:rowOff>
    </xdr:to>
    <xdr:sp macro="" textlink="">
      <xdr:nvSpPr>
        <xdr:cNvPr id="4" name="TextBox 3"/>
        <xdr:cNvSpPr txBox="1"/>
      </xdr:nvSpPr>
      <xdr:spPr>
        <a:xfrm>
          <a:off x="9667875" y="4419601"/>
          <a:ext cx="6867525"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Source</a:t>
          </a:r>
          <a:r>
            <a:rPr lang="en-AU" sz="1100" baseline="0"/>
            <a:t> and notes:  CRA 2008a p. 127</a:t>
          </a:r>
          <a:endParaRPr lang="en-AU" sz="1100"/>
        </a:p>
      </xdr:txBody>
    </xdr:sp>
    <xdr:clientData/>
  </xdr:twoCellAnchor>
  <xdr:twoCellAnchor>
    <xdr:from>
      <xdr:col>10</xdr:col>
      <xdr:colOff>123824</xdr:colOff>
      <xdr:row>22</xdr:row>
      <xdr:rowOff>190500</xdr:rowOff>
    </xdr:from>
    <xdr:to>
      <xdr:col>22</xdr:col>
      <xdr:colOff>209550</xdr:colOff>
      <xdr:row>25</xdr:row>
      <xdr:rowOff>47625</xdr:rowOff>
    </xdr:to>
    <xdr:sp macro="" textlink="">
      <xdr:nvSpPr>
        <xdr:cNvPr id="5" name="TextBox 4"/>
        <xdr:cNvSpPr txBox="1"/>
      </xdr:nvSpPr>
      <xdr:spPr>
        <a:xfrm>
          <a:off x="9658349" y="4695825"/>
          <a:ext cx="7400926"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Given some inflation</a:t>
          </a:r>
          <a:r>
            <a:rPr lang="en-AU" sz="1100" baseline="0"/>
            <a:t> since the estimates, and a concern to avoid extremes at either end, we have used 50 as low, 65 as high and the average as the middle value</a:t>
          </a:r>
          <a:endParaRPr lang="en-AU" sz="1100"/>
        </a:p>
      </xdr:txBody>
    </xdr:sp>
    <xdr:clientData/>
  </xdr:twoCellAnchor>
  <xdr:twoCellAnchor>
    <xdr:from>
      <xdr:col>9</xdr:col>
      <xdr:colOff>28575</xdr:colOff>
      <xdr:row>40</xdr:row>
      <xdr:rowOff>1</xdr:rowOff>
    </xdr:from>
    <xdr:to>
      <xdr:col>17</xdr:col>
      <xdr:colOff>428625</xdr:colOff>
      <xdr:row>44</xdr:row>
      <xdr:rowOff>161926</xdr:rowOff>
    </xdr:to>
    <xdr:sp macro="" textlink="">
      <xdr:nvSpPr>
        <xdr:cNvPr id="3" name="TextBox 2"/>
        <xdr:cNvSpPr txBox="1"/>
      </xdr:nvSpPr>
      <xdr:spPr>
        <a:xfrm>
          <a:off x="8953500" y="8134351"/>
          <a:ext cx="5276850"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mn-lt"/>
              <a:ea typeface="+mn-ea"/>
              <a:cs typeface="+mn-cs"/>
            </a:rPr>
            <a:t>As discussed in chapter 11, there are different ways of calculating the LRMC, but fundamentally, it measures the annualised cost of supplying the required capacity over the life of the asset. Accordingly, unlike the SRMC, the LRMC is measured in per year terms. The Commission reviewed existing estimates of the long-run marginal cost of delivering an additional  kW to an end user during peak periods</a:t>
          </a:r>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1419225</xdr:colOff>
      <xdr:row>27</xdr:row>
      <xdr:rowOff>85724</xdr:rowOff>
    </xdr:from>
    <xdr:to>
      <xdr:col>1</xdr:col>
      <xdr:colOff>723900</xdr:colOff>
      <xdr:row>32</xdr:row>
      <xdr:rowOff>95249</xdr:rowOff>
    </xdr:to>
    <xdr:sp macro="" textlink="">
      <xdr:nvSpPr>
        <xdr:cNvPr id="13" name="TextBox 12"/>
        <xdr:cNvSpPr txBox="1"/>
      </xdr:nvSpPr>
      <xdr:spPr>
        <a:xfrm>
          <a:off x="1419225" y="5362574"/>
          <a:ext cx="1619250" cy="962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There is an initial investment in smart meters in year 0 and an upgrade</a:t>
          </a:r>
          <a:r>
            <a:rPr lang="en-AU" sz="1100" baseline="0"/>
            <a:t> in year 7</a:t>
          </a:r>
          <a:endParaRPr lang="en-AU" sz="1100"/>
        </a:p>
      </xdr:txBody>
    </xdr:sp>
    <xdr:clientData/>
  </xdr:twoCellAnchor>
  <xdr:twoCellAnchor>
    <xdr:from>
      <xdr:col>0</xdr:col>
      <xdr:colOff>2228850</xdr:colOff>
      <xdr:row>17</xdr:row>
      <xdr:rowOff>161925</xdr:rowOff>
    </xdr:from>
    <xdr:to>
      <xdr:col>1</xdr:col>
      <xdr:colOff>1038225</xdr:colOff>
      <xdr:row>27</xdr:row>
      <xdr:rowOff>85724</xdr:rowOff>
    </xdr:to>
    <xdr:cxnSp macro="">
      <xdr:nvCxnSpPr>
        <xdr:cNvPr id="15" name="Straight Arrow Connector 14"/>
        <xdr:cNvCxnSpPr>
          <a:stCxn id="13" idx="0"/>
        </xdr:cNvCxnSpPr>
      </xdr:nvCxnSpPr>
      <xdr:spPr>
        <a:xfrm flipV="1">
          <a:off x="2228850" y="3533775"/>
          <a:ext cx="1123950" cy="182879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38101</xdr:colOff>
      <xdr:row>26</xdr:row>
      <xdr:rowOff>28574</xdr:rowOff>
    </xdr:from>
    <xdr:to>
      <xdr:col>6</xdr:col>
      <xdr:colOff>1290205</xdr:colOff>
      <xdr:row>32</xdr:row>
      <xdr:rowOff>121227</xdr:rowOff>
    </xdr:to>
    <xdr:sp macro="" textlink="">
      <xdr:nvSpPr>
        <xdr:cNvPr id="2" name="TextBox 1"/>
        <xdr:cNvSpPr txBox="1"/>
      </xdr:nvSpPr>
      <xdr:spPr>
        <a:xfrm>
          <a:off x="38101" y="5128779"/>
          <a:ext cx="11746922" cy="12356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900"/>
            <a:t>The DM savings,</a:t>
          </a:r>
          <a:r>
            <a:rPr lang="en-AU" sz="900" baseline="0"/>
            <a:t> operating costs and savings increase over time until the whole stock of meters are deployed, and then decays over time. This is because the experiment relates to the benefits and costs of rolling out one full tranche of meters, and not the successive benefits and costs of replacing them. In any real world rollout, as meters died at 15 years, they would be replaced. This would involve a new set of costs for investment and operating expenses, and a new set of demand and operating cost savings. In successive 19 year periods, the demand management benefits would be realised  immediately given that consumers' demand responses would be stable at that time (and supported by the diffusion of technology).  Accordingly, a long-run model would produce bigger net benefits than those shown here. On the other hand, discounting reduces the impact of this effect,. Therefore, the long-run scenario is probably close to a multiple of the one-off scenario shown here and little is lost in adopting a finite horizon model, which has the benefit of being far more tractable numerically.  </a:t>
          </a:r>
        </a:p>
        <a:p>
          <a:r>
            <a:rPr lang="en-AU" sz="900" baseline="0"/>
            <a:t>The reason for low demand response in the initial years reflects t (a) the factors described in the worksheet labelled "One-off"  and (b) that the meter rollout is staged over five years. The outcomes in the first year (shown as t=0) relate to the outcomes occurring between t=0 and t=1. Altogether, the model results relate to 19 periods because the last tranche of meter rollouts occurs between years 4 and 5,  with this tranche finally fully depreciated by  the period between years 18 and 19  (shown as year = 18).</a:t>
          </a:r>
          <a:endParaRPr lang="en-AU" sz="9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838200</xdr:colOff>
      <xdr:row>59</xdr:row>
      <xdr:rowOff>133350</xdr:rowOff>
    </xdr:from>
    <xdr:to>
      <xdr:col>13</xdr:col>
      <xdr:colOff>771525</xdr:colOff>
      <xdr:row>78</xdr:row>
      <xdr:rowOff>85725</xdr:rowOff>
    </xdr:to>
    <xdr:sp macro="" textlink="">
      <xdr:nvSpPr>
        <xdr:cNvPr id="2" name="TextBox 1"/>
        <xdr:cNvSpPr txBox="1"/>
      </xdr:nvSpPr>
      <xdr:spPr>
        <a:xfrm>
          <a:off x="10115550" y="12734925"/>
          <a:ext cx="9705975" cy="3781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495300</xdr:colOff>
      <xdr:row>12</xdr:row>
      <xdr:rowOff>9525</xdr:rowOff>
    </xdr:from>
    <xdr:to>
      <xdr:col>3</xdr:col>
      <xdr:colOff>333375</xdr:colOff>
      <xdr:row>14</xdr:row>
      <xdr:rowOff>114300</xdr:rowOff>
    </xdr:to>
    <xdr:sp macro="" textlink="">
      <xdr:nvSpPr>
        <xdr:cNvPr id="23" name="Freeform 22"/>
        <xdr:cNvSpPr/>
      </xdr:nvSpPr>
      <xdr:spPr>
        <a:xfrm>
          <a:off x="3676650" y="2343150"/>
          <a:ext cx="1152525" cy="495300"/>
        </a:xfrm>
        <a:custGeom>
          <a:avLst/>
          <a:gdLst>
            <a:gd name="connsiteX0" fmla="*/ 1152525 w 1152525"/>
            <a:gd name="connsiteY0" fmla="*/ 0 h 419100"/>
            <a:gd name="connsiteX1" fmla="*/ 476250 w 1152525"/>
            <a:gd name="connsiteY1" fmla="*/ 419100 h 419100"/>
            <a:gd name="connsiteX2" fmla="*/ 0 w 1152525"/>
            <a:gd name="connsiteY2" fmla="*/ 47625 h 419100"/>
          </a:gdLst>
          <a:ahLst/>
          <a:cxnLst>
            <a:cxn ang="0">
              <a:pos x="connsiteX0" y="connsiteY0"/>
            </a:cxn>
            <a:cxn ang="0">
              <a:pos x="connsiteX1" y="connsiteY1"/>
            </a:cxn>
            <a:cxn ang="0">
              <a:pos x="connsiteX2" y="connsiteY2"/>
            </a:cxn>
          </a:cxnLst>
          <a:rect l="l" t="t" r="r" b="b"/>
          <a:pathLst>
            <a:path w="1152525" h="419100">
              <a:moveTo>
                <a:pt x="1152525" y="0"/>
              </a:moveTo>
              <a:lnTo>
                <a:pt x="476250" y="419100"/>
              </a:lnTo>
              <a:lnTo>
                <a:pt x="0" y="47625"/>
              </a:lnTo>
            </a:path>
          </a:pathLst>
        </a:custGeom>
        <a:noFill/>
        <a:ln>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1028699</xdr:colOff>
      <xdr:row>29</xdr:row>
      <xdr:rowOff>123824</xdr:rowOff>
    </xdr:from>
    <xdr:to>
      <xdr:col>5</xdr:col>
      <xdr:colOff>428624</xdr:colOff>
      <xdr:row>36</xdr:row>
      <xdr:rowOff>171449</xdr:rowOff>
    </xdr:to>
    <xdr:sp macro="" textlink="">
      <xdr:nvSpPr>
        <xdr:cNvPr id="24" name="TextBox 23"/>
        <xdr:cNvSpPr txBox="1"/>
      </xdr:nvSpPr>
      <xdr:spPr>
        <a:xfrm>
          <a:off x="1028699" y="5762624"/>
          <a:ext cx="5114925"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As it stands, the $326 is not a net subsidy since the party using the air conditioner does pay something. However, the bulk of their customer bill is a fixed charge (which will</a:t>
          </a:r>
          <a:r>
            <a:rPr lang="en-AU" sz="1100" baseline="0"/>
            <a:t> pay for much of the network capacity at peak) </a:t>
          </a:r>
          <a:r>
            <a:rPr lang="en-AU" sz="1100"/>
            <a:t>and then a low energy use charge (which will aslo reflect any</a:t>
          </a:r>
          <a:r>
            <a:rPr lang="en-AU" sz="1100" baseline="0"/>
            <a:t> marginal costs for retailers, generatrors as well as network businesses).  Properly priced, the true marginal costs of air conditioning at critical peak times will be very high multiples of the actual marginal energy cost</a:t>
          </a:r>
          <a:endParaRPr lang="en-AU"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457199</xdr:colOff>
      <xdr:row>12</xdr:row>
      <xdr:rowOff>542637</xdr:rowOff>
    </xdr:from>
    <xdr:to>
      <xdr:col>16</xdr:col>
      <xdr:colOff>358944</xdr:colOff>
      <xdr:row>38</xdr:row>
      <xdr:rowOff>76200</xdr:rowOff>
    </xdr:to>
    <xdr:pic>
      <xdr:nvPicPr>
        <xdr:cNvPr id="2" name="Picture 1" descr="Shows the Long-run marginal cost estimates of selected distribution businesses. Estimates vary between 64.65 $/KVA/annum to 113.91 $/KVA/annu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1599" y="1514187"/>
          <a:ext cx="7216945" cy="4838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209550</xdr:colOff>
      <xdr:row>12</xdr:row>
      <xdr:rowOff>733425</xdr:rowOff>
    </xdr:from>
    <xdr:to>
      <xdr:col>34</xdr:col>
      <xdr:colOff>250963</xdr:colOff>
      <xdr:row>28</xdr:row>
      <xdr:rowOff>28575</xdr:rowOff>
    </xdr:to>
    <xdr:pic>
      <xdr:nvPicPr>
        <xdr:cNvPr id="3" name="Picture 2" descr="Shows long-run marginal cost estimates for generation activities. Estimates vary between 129.2 $/kW/p.a to 155.9 $/kW/p.a"/>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107150" y="1876425"/>
          <a:ext cx="7966213" cy="320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xdr:colOff>
      <xdr:row>1</xdr:row>
      <xdr:rowOff>47624</xdr:rowOff>
    </xdr:from>
    <xdr:to>
      <xdr:col>4</xdr:col>
      <xdr:colOff>0</xdr:colOff>
      <xdr:row>8</xdr:row>
      <xdr:rowOff>66675</xdr:rowOff>
    </xdr:to>
    <xdr:sp macro="" textlink="">
      <xdr:nvSpPr>
        <xdr:cNvPr id="4" name="TextBox 3"/>
        <xdr:cNvSpPr txBox="1"/>
      </xdr:nvSpPr>
      <xdr:spPr>
        <a:xfrm>
          <a:off x="19050" y="238124"/>
          <a:ext cx="8515350" cy="1352551"/>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800"/>
            <a:t>Introduction</a:t>
          </a:r>
        </a:p>
        <a:p>
          <a:r>
            <a:rPr lang="en-AU" sz="1100"/>
            <a:t>The Commission has drawn on a range of long and short run estimates of the marginal cost of electricity generation, transmission</a:t>
          </a:r>
          <a:r>
            <a:rPr lang="en-AU" sz="1100" baseline="0"/>
            <a:t> and distribution. In order to translate the marginal cost of electricity into an estimate of the benefits of demand management. The information shown below shows various LRMC estimates, and the interpretation, source and date of information. The Commission has used several estimation approaches and levels of aggregation of analysis to produce LRMC estimates. The results are summarised from row 197.</a:t>
          </a:r>
          <a:endParaRPr lang="en-AU" sz="1100"/>
        </a:p>
      </xdr:txBody>
    </xdr:sp>
    <xdr:clientData/>
  </xdr:twoCellAnchor>
  <xdr:twoCellAnchor>
    <xdr:from>
      <xdr:col>1</xdr:col>
      <xdr:colOff>2438400</xdr:colOff>
      <xdr:row>203</xdr:row>
      <xdr:rowOff>152400</xdr:rowOff>
    </xdr:from>
    <xdr:to>
      <xdr:col>1</xdr:col>
      <xdr:colOff>3848100</xdr:colOff>
      <xdr:row>214</xdr:row>
      <xdr:rowOff>66675</xdr:rowOff>
    </xdr:to>
    <xdr:cxnSp macro="">
      <xdr:nvCxnSpPr>
        <xdr:cNvPr id="6" name="Straight Arrow Connector 5"/>
        <xdr:cNvCxnSpPr/>
      </xdr:nvCxnSpPr>
      <xdr:spPr>
        <a:xfrm flipV="1">
          <a:off x="3695700" y="41395650"/>
          <a:ext cx="1409700" cy="20097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29</xdr:row>
      <xdr:rowOff>123826</xdr:rowOff>
    </xdr:from>
    <xdr:to>
      <xdr:col>8</xdr:col>
      <xdr:colOff>247650</xdr:colOff>
      <xdr:row>37</xdr:row>
      <xdr:rowOff>85726</xdr:rowOff>
    </xdr:to>
    <xdr:sp macro="" textlink="">
      <xdr:nvSpPr>
        <xdr:cNvPr id="2" name="TextBox 1"/>
        <xdr:cNvSpPr txBox="1"/>
      </xdr:nvSpPr>
      <xdr:spPr>
        <a:xfrm>
          <a:off x="123825" y="5267326"/>
          <a:ext cx="6019800" cy="148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i="0" u="none" strike="noStrike" baseline="0" smtClean="0">
              <a:solidFill>
                <a:schemeClr val="dk1"/>
              </a:solidFill>
              <a:latin typeface="+mn-lt"/>
              <a:ea typeface="+mn-ea"/>
              <a:cs typeface="+mn-cs"/>
            </a:rPr>
            <a:t>Quote from AECOM:</a:t>
          </a:r>
        </a:p>
        <a:p>
          <a:r>
            <a:rPr lang="en-AU" sz="1100" b="0" i="0" u="none" strike="noStrike" baseline="0" smtClean="0">
              <a:solidFill>
                <a:schemeClr val="dk1"/>
              </a:solidFill>
              <a:latin typeface="+mn-lt"/>
              <a:ea typeface="+mn-ea"/>
              <a:cs typeface="+mn-cs"/>
            </a:rPr>
            <a:t>Our analysis suggests that the cost of capacity is between $2.1 and $4.8 million per MW. This range is</a:t>
          </a:r>
        </a:p>
        <a:p>
          <a:r>
            <a:rPr lang="en-AU" sz="1100" b="0" i="0" u="none" strike="noStrike" baseline="0" smtClean="0">
              <a:solidFill>
                <a:schemeClr val="dk1"/>
              </a:solidFill>
              <a:latin typeface="+mn-lt"/>
              <a:ea typeface="+mn-ea"/>
              <a:cs typeface="+mn-cs"/>
            </a:rPr>
            <a:t>close to that proposed by AusGrid in their recent submission to AEMC, namely $1.2 to $4 million per</a:t>
          </a:r>
        </a:p>
        <a:p>
          <a:r>
            <a:rPr lang="en-AU" sz="1100" b="0" i="0" u="none" strike="noStrike" baseline="0" smtClean="0">
              <a:solidFill>
                <a:schemeClr val="dk1"/>
              </a:solidFill>
              <a:latin typeface="+mn-lt"/>
              <a:ea typeface="+mn-ea"/>
              <a:cs typeface="+mn-cs"/>
            </a:rPr>
            <a:t>MW. Growth tends to be more expensive in the DNSPs that service rural areas, for example Aurora</a:t>
          </a:r>
        </a:p>
        <a:p>
          <a:r>
            <a:rPr lang="en-AU" sz="1100" b="0" i="0" u="none" strike="noStrike" baseline="0" smtClean="0">
              <a:solidFill>
                <a:schemeClr val="dk1"/>
              </a:solidFill>
              <a:latin typeface="+mn-lt"/>
              <a:ea typeface="+mn-ea"/>
              <a:cs typeface="+mn-cs"/>
            </a:rPr>
            <a:t>Energy, Ergon and ETSA Utilities. This makes sense since networks in rural areas tend to be less</a:t>
          </a:r>
        </a:p>
        <a:p>
          <a:r>
            <a:rPr lang="en-AU" sz="1100" b="0" i="0" u="none" strike="noStrike" baseline="0" smtClean="0">
              <a:solidFill>
                <a:schemeClr val="dk1"/>
              </a:solidFill>
              <a:latin typeface="+mn-lt"/>
              <a:ea typeface="+mn-ea"/>
              <a:cs typeface="+mn-cs"/>
            </a:rPr>
            <a:t>connected and less dense, reducing the opportunity for load sharing. In the absence of better data, the weighted average of $2.9 million per MW was used as the cost of distribution growth in Western</a:t>
          </a:r>
        </a:p>
        <a:p>
          <a:r>
            <a:rPr lang="en-AU" sz="1100" b="0" i="0" u="none" strike="noStrike" baseline="0" smtClean="0">
              <a:solidFill>
                <a:schemeClr val="dk1"/>
              </a:solidFill>
              <a:latin typeface="+mn-lt"/>
              <a:ea typeface="+mn-ea"/>
              <a:cs typeface="+mn-cs"/>
            </a:rPr>
            <a:t>Australia.</a:t>
          </a:r>
          <a:endParaRPr lang="en-AU" sz="1100"/>
        </a:p>
      </xdr:txBody>
    </xdr:sp>
    <xdr:clientData/>
  </xdr:twoCellAnchor>
  <xdr:twoCellAnchor>
    <xdr:from>
      <xdr:col>0</xdr:col>
      <xdr:colOff>104775</xdr:colOff>
      <xdr:row>63</xdr:row>
      <xdr:rowOff>133350</xdr:rowOff>
    </xdr:from>
    <xdr:to>
      <xdr:col>7</xdr:col>
      <xdr:colOff>533400</xdr:colOff>
      <xdr:row>71</xdr:row>
      <xdr:rowOff>47625</xdr:rowOff>
    </xdr:to>
    <xdr:sp macro="" textlink="">
      <xdr:nvSpPr>
        <xdr:cNvPr id="3" name="TextBox 2"/>
        <xdr:cNvSpPr txBox="1"/>
      </xdr:nvSpPr>
      <xdr:spPr>
        <a:xfrm>
          <a:off x="104775" y="8896350"/>
          <a:ext cx="6553200" cy="1438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100" b="1" i="0" baseline="0">
              <a:solidFill>
                <a:schemeClr val="dk1"/>
              </a:solidFill>
              <a:effectLst/>
              <a:latin typeface="+mn-lt"/>
              <a:ea typeface="+mn-ea"/>
              <a:cs typeface="+mn-cs"/>
            </a:rPr>
            <a:t>Quote from AECOM:</a:t>
          </a:r>
          <a:endParaRPr lang="en-AU">
            <a:effectLst/>
          </a:endParaRPr>
        </a:p>
        <a:p>
          <a:endParaRPr lang="en-AU" sz="1100"/>
        </a:p>
        <a:p>
          <a:r>
            <a:rPr lang="en-AU" sz="1100"/>
            <a:t>The cost of transmission growth was estimated to be between $0.37 and $1.66 million per MW, with a </a:t>
          </a:r>
        </a:p>
        <a:p>
          <a:r>
            <a:rPr lang="en-AU" sz="1100"/>
            <a:t>weighted average of $0.66 million. Again, the range was consistent with the estimate reported by </a:t>
          </a:r>
        </a:p>
        <a:p>
          <a:r>
            <a:rPr lang="en-AU" sz="1100"/>
            <a:t>AusGrid (2011) of $0.4 to $1.1 million per MW, with the exception of Transend (again in Tasmania), </a:t>
          </a:r>
        </a:p>
        <a:p>
          <a:r>
            <a:rPr lang="en-AU" sz="1100"/>
            <a:t>which had the most expensive growth. It is worth noting that Transend owns many distribution assets </a:t>
          </a:r>
        </a:p>
        <a:p>
          <a:r>
            <a:rPr lang="en-AU" sz="1100"/>
            <a:t>which may influence their cost estimates.  </a:t>
          </a:r>
        </a:p>
      </xdr:txBody>
    </xdr:sp>
    <xdr:clientData/>
  </xdr:twoCellAnchor>
  <xdr:twoCellAnchor>
    <xdr:from>
      <xdr:col>9</xdr:col>
      <xdr:colOff>57150</xdr:colOff>
      <xdr:row>21</xdr:row>
      <xdr:rowOff>161925</xdr:rowOff>
    </xdr:from>
    <xdr:to>
      <xdr:col>11</xdr:col>
      <xdr:colOff>161925</xdr:colOff>
      <xdr:row>26</xdr:row>
      <xdr:rowOff>0</xdr:rowOff>
    </xdr:to>
    <xdr:sp macro="" textlink="">
      <xdr:nvSpPr>
        <xdr:cNvPr id="4" name="TextBox 3"/>
        <xdr:cNvSpPr txBox="1"/>
      </xdr:nvSpPr>
      <xdr:spPr>
        <a:xfrm>
          <a:off x="8039100" y="3971925"/>
          <a:ext cx="1323975" cy="79057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These are the PC's estimates</a:t>
          </a:r>
        </a:p>
      </xdr:txBody>
    </xdr:sp>
    <xdr:clientData/>
  </xdr:twoCellAnchor>
  <xdr:twoCellAnchor>
    <xdr:from>
      <xdr:col>9</xdr:col>
      <xdr:colOff>57150</xdr:colOff>
      <xdr:row>50</xdr:row>
      <xdr:rowOff>161925</xdr:rowOff>
    </xdr:from>
    <xdr:to>
      <xdr:col>11</xdr:col>
      <xdr:colOff>161925</xdr:colOff>
      <xdr:row>55</xdr:row>
      <xdr:rowOff>0</xdr:rowOff>
    </xdr:to>
    <xdr:sp macro="" textlink="">
      <xdr:nvSpPr>
        <xdr:cNvPr id="5" name="TextBox 4"/>
        <xdr:cNvSpPr txBox="1"/>
      </xdr:nvSpPr>
      <xdr:spPr>
        <a:xfrm>
          <a:off x="8039100" y="3971925"/>
          <a:ext cx="1323975" cy="79057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These are the PC's estimates</a:t>
          </a:r>
        </a:p>
      </xdr:txBody>
    </xdr:sp>
    <xdr:clientData/>
  </xdr:twoCellAnchor>
  <xdr:twoCellAnchor>
    <xdr:from>
      <xdr:col>0</xdr:col>
      <xdr:colOff>133350</xdr:colOff>
      <xdr:row>2</xdr:row>
      <xdr:rowOff>38100</xdr:rowOff>
    </xdr:from>
    <xdr:to>
      <xdr:col>8</xdr:col>
      <xdr:colOff>114300</xdr:colOff>
      <xdr:row>7</xdr:row>
      <xdr:rowOff>0</xdr:rowOff>
    </xdr:to>
    <xdr:sp macro="" textlink="">
      <xdr:nvSpPr>
        <xdr:cNvPr id="6" name="TextBox 5"/>
        <xdr:cNvSpPr txBox="1"/>
      </xdr:nvSpPr>
      <xdr:spPr>
        <a:xfrm>
          <a:off x="133350" y="628650"/>
          <a:ext cx="73533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These provide alternative set of estimates of the SRMC (and thereby LRMC), and are from a single report.</a:t>
          </a:r>
        </a:p>
        <a:p>
          <a:r>
            <a:rPr lang="en-AU" sz="1100"/>
            <a:t>The calculation method is based on dividing growth capex by growth in maximum demand  (based on AER Regulatory Determinat</a:t>
          </a:r>
        </a:p>
        <a:p>
          <a:r>
            <a:rPr lang="en-AU" sz="1100"/>
            <a:t>These results are higher than the estimates found from other sources, most partiuclarly, consultants' and businesses' direct estimates of SRMC and LRMC.ions)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222249</xdr:colOff>
      <xdr:row>28</xdr:row>
      <xdr:rowOff>10583</xdr:rowOff>
    </xdr:from>
    <xdr:to>
      <xdr:col>4</xdr:col>
      <xdr:colOff>762000</xdr:colOff>
      <xdr:row>46</xdr:row>
      <xdr:rowOff>95250</xdr:rowOff>
    </xdr:to>
    <xdr:sp macro="" textlink="">
      <xdr:nvSpPr>
        <xdr:cNvPr id="2" name="TextBox 1"/>
        <xdr:cNvSpPr txBox="1"/>
      </xdr:nvSpPr>
      <xdr:spPr>
        <a:xfrm>
          <a:off x="4878916" y="5482166"/>
          <a:ext cx="3799417" cy="3661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mn-lt"/>
              <a:ea typeface="+mn-ea"/>
              <a:cs typeface="+mn-cs"/>
            </a:rPr>
            <a:t>Demand management savings follow a logistic curve over time, with low initial savings. This reflects the fact that: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(a) In a national rollout, cost-reflective prices in many regions would be set low because of an absence of constraints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(b)</a:t>
          </a:r>
          <a:r>
            <a:rPr lang="en-AU" sz="1100" baseline="0">
              <a:solidFill>
                <a:schemeClr val="dk1"/>
              </a:solidFill>
              <a:effectLst/>
              <a:latin typeface="+mn-lt"/>
              <a:ea typeface="+mn-ea"/>
              <a:cs typeface="+mn-cs"/>
            </a:rPr>
            <a:t> It would be hard to convince people of the need to time-shift power consumption in places where infrastructure was completely adequate to support current patterns of peak consumption</a:t>
          </a:r>
          <a:r>
            <a:rPr lang="en-AU" sz="1100">
              <a:solidFill>
                <a:schemeClr val="dk1"/>
              </a:solidFill>
              <a:effectLst/>
              <a:latin typeface="+mn-lt"/>
              <a:ea typeface="+mn-ea"/>
              <a:cs typeface="+mn-cs"/>
            </a:rPr>
            <a:t> (ie 'moral suasion' would be weak). The situation would be analogous to trying</a:t>
          </a:r>
          <a:r>
            <a:rPr lang="en-AU" sz="1100" baseline="0">
              <a:solidFill>
                <a:schemeClr val="dk1"/>
              </a:solidFill>
              <a:effectLst/>
              <a:latin typeface="+mn-lt"/>
              <a:ea typeface="+mn-ea"/>
              <a:cs typeface="+mn-cs"/>
            </a:rPr>
            <a:t> to persuade people to save water when local dams are full.</a:t>
          </a:r>
        </a:p>
        <a:p>
          <a:endParaRPr lang="en-AU" sz="1100" baseline="0">
            <a:solidFill>
              <a:schemeClr val="dk1"/>
            </a:solidFill>
            <a:effectLst/>
            <a:latin typeface="+mn-lt"/>
            <a:ea typeface="+mn-ea"/>
            <a:cs typeface="+mn-cs"/>
          </a:endParaRPr>
        </a:p>
        <a:p>
          <a:r>
            <a:rPr lang="en-AU" sz="1100" baseline="0">
              <a:solidFill>
                <a:schemeClr val="dk1"/>
              </a:solidFill>
              <a:effectLst/>
              <a:latin typeface="+mn-lt"/>
              <a:ea typeface="+mn-ea"/>
              <a:cs typeface="+mn-cs"/>
            </a:rPr>
            <a:t>(c) DM savings only occur if there are network savings, which are the result of planned deferral of investment. Such planning  requires some certainty about the nature of the demand response, which only becomes apparent over time. The benefit of the targeted approach described in scenario (1) is  that the meters are only rolled out when there is such certainty. </a:t>
          </a:r>
          <a:endParaRPr lang="en-AU" sz="1100">
            <a:solidFill>
              <a:schemeClr val="dk1"/>
            </a:solidFill>
            <a:effectLst/>
            <a:latin typeface="+mn-lt"/>
            <a:ea typeface="+mn-ea"/>
            <a:cs typeface="+mn-cs"/>
          </a:endParaRPr>
        </a:p>
      </xdr:txBody>
    </xdr:sp>
    <xdr:clientData/>
  </xdr:twoCellAnchor>
  <xdr:twoCellAnchor>
    <xdr:from>
      <xdr:col>7</xdr:col>
      <xdr:colOff>825501</xdr:colOff>
      <xdr:row>10</xdr:row>
      <xdr:rowOff>62441</xdr:rowOff>
    </xdr:from>
    <xdr:to>
      <xdr:col>12</xdr:col>
      <xdr:colOff>10584</xdr:colOff>
      <xdr:row>24</xdr:row>
      <xdr:rowOff>138641</xdr:rowOff>
    </xdr:to>
    <xdr:graphicFrame macro="">
      <xdr:nvGraphicFramePr>
        <xdr:cNvPr id="4" name="Chart 3" descr="Demand management savings over time as a proportion of total savings. Figure shows that savings follow a logistic pattern over tim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27"/>
  <sheetViews>
    <sheetView tabSelected="1" zoomScale="120" zoomScaleNormal="120" workbookViewId="0">
      <selection activeCell="A27" sqref="A27"/>
    </sheetView>
  </sheetViews>
  <sheetFormatPr defaultRowHeight="15" x14ac:dyDescent="0.25"/>
  <cols>
    <col min="1" max="1" width="34.42578125" bestFit="1" customWidth="1"/>
  </cols>
  <sheetData>
    <row r="1" ht="16.149999999999999" customHeight="1" x14ac:dyDescent="0.25"/>
    <row r="2" ht="16.149999999999999" customHeight="1" x14ac:dyDescent="0.25"/>
    <row r="3" ht="16.149999999999999" customHeight="1" x14ac:dyDescent="0.25"/>
    <row r="4" ht="16.149999999999999" customHeight="1" x14ac:dyDescent="0.25"/>
    <row r="5" ht="16.149999999999999" customHeight="1" x14ac:dyDescent="0.25"/>
    <row r="27" spans="1:1" x14ac:dyDescent="0.25">
      <c r="A27" s="223" t="s">
        <v>374</v>
      </c>
    </row>
  </sheetData>
  <hyperlinks>
    <hyperlink ref="A27" location="Contents!A1" display="See the Contents of this spreadsheet"/>
  </hyperlinks>
  <pageMargins left="0.7" right="0.7" top="0.75" bottom="0.75" header="0.3" footer="0.3"/>
  <pageSetup paperSize="9" orientation="portrait" r:id="rId1"/>
  <headerFooter>
    <oddFooter>&amp;C&amp;G</oddFoot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L71"/>
  <sheetViews>
    <sheetView workbookViewId="0">
      <selection activeCell="F1" sqref="F1"/>
    </sheetView>
  </sheetViews>
  <sheetFormatPr defaultRowHeight="15" x14ac:dyDescent="0.25"/>
  <cols>
    <col min="1" max="2" width="25.28515625" customWidth="1"/>
    <col min="6" max="6" width="29.140625" customWidth="1"/>
    <col min="11" max="11" width="13" customWidth="1"/>
    <col min="12" max="12" width="9.5703125" bestFit="1" customWidth="1"/>
  </cols>
  <sheetData>
    <row r="1" spans="1:12" s="77" customFormat="1" x14ac:dyDescent="0.25">
      <c r="F1" s="223" t="s">
        <v>389</v>
      </c>
    </row>
    <row r="2" spans="1:12" s="77" customFormat="1" ht="36" x14ac:dyDescent="0.55000000000000004">
      <c r="A2" s="192" t="s">
        <v>323</v>
      </c>
    </row>
    <row r="3" spans="1:12" s="77" customFormat="1" x14ac:dyDescent="0.25"/>
    <row r="4" spans="1:12" s="77" customFormat="1" x14ac:dyDescent="0.25"/>
    <row r="5" spans="1:12" ht="21" x14ac:dyDescent="0.35">
      <c r="A5" s="190" t="s">
        <v>313</v>
      </c>
      <c r="B5" s="167"/>
      <c r="C5" s="167"/>
      <c r="F5" s="190" t="s">
        <v>314</v>
      </c>
      <c r="G5" s="166"/>
      <c r="H5" s="166"/>
      <c r="K5" s="190" t="s">
        <v>318</v>
      </c>
      <c r="L5" s="166"/>
    </row>
    <row r="6" spans="1:12" x14ac:dyDescent="0.25">
      <c r="A6" s="167"/>
      <c r="B6" s="167" t="s">
        <v>357</v>
      </c>
      <c r="C6" s="167"/>
      <c r="F6" s="166"/>
      <c r="G6" s="166" t="s">
        <v>357</v>
      </c>
      <c r="H6" s="166"/>
      <c r="K6" s="166"/>
      <c r="L6" s="166" t="s">
        <v>357</v>
      </c>
    </row>
    <row r="7" spans="1:12" x14ac:dyDescent="0.25">
      <c r="A7" s="166" t="s">
        <v>164</v>
      </c>
      <c r="B7" s="168">
        <f>'Various LRMC'!C80</f>
        <v>196.5</v>
      </c>
      <c r="C7" s="191"/>
      <c r="F7" s="166" t="s">
        <v>164</v>
      </c>
      <c r="G7" s="168">
        <f>'Various LRMC'!C103</f>
        <v>65.5</v>
      </c>
      <c r="H7" s="191"/>
      <c r="K7" s="166" t="s">
        <v>316</v>
      </c>
      <c r="L7" s="168">
        <f>'Various LRMC'!C138</f>
        <v>90</v>
      </c>
    </row>
    <row r="8" spans="1:12" x14ac:dyDescent="0.25">
      <c r="A8" s="166" t="s">
        <v>165</v>
      </c>
      <c r="B8" s="168">
        <f>'Various LRMC'!C81</f>
        <v>87</v>
      </c>
      <c r="C8" s="191"/>
      <c r="F8" s="166" t="s">
        <v>165</v>
      </c>
      <c r="G8" s="168">
        <f>'Various LRMC'!C104</f>
        <v>29</v>
      </c>
      <c r="H8" s="191"/>
      <c r="K8" s="166" t="s">
        <v>315</v>
      </c>
      <c r="L8" s="168">
        <f>'Various LRMC'!C139</f>
        <v>110</v>
      </c>
    </row>
    <row r="9" spans="1:12" x14ac:dyDescent="0.25">
      <c r="A9" s="166" t="s">
        <v>166</v>
      </c>
      <c r="B9" s="168">
        <f>'Various LRMC'!C82</f>
        <v>109.5</v>
      </c>
      <c r="C9" s="191"/>
      <c r="F9" s="166" t="s">
        <v>166</v>
      </c>
      <c r="G9" s="168">
        <f>'Various LRMC'!C105</f>
        <v>36.5</v>
      </c>
      <c r="H9" s="191"/>
      <c r="K9" s="166" t="s">
        <v>317</v>
      </c>
      <c r="L9" s="168">
        <f>'AECOM LRMC&amp;SRMC'!C75</f>
        <v>73.81855057965457</v>
      </c>
    </row>
    <row r="10" spans="1:12" x14ac:dyDescent="0.25">
      <c r="A10" s="166" t="s">
        <v>167</v>
      </c>
      <c r="B10" s="168">
        <f>'Various LRMC'!C83</f>
        <v>78.75</v>
      </c>
      <c r="C10" s="191"/>
      <c r="F10" s="166" t="s">
        <v>167</v>
      </c>
      <c r="G10" s="168">
        <f>'Various LRMC'!C106</f>
        <v>26.25</v>
      </c>
      <c r="H10" s="191"/>
      <c r="K10" s="91" t="s">
        <v>28</v>
      </c>
      <c r="L10" s="91">
        <f>AVERAGE(L7:L9)</f>
        <v>91.27285019321819</v>
      </c>
    </row>
    <row r="11" spans="1:12" x14ac:dyDescent="0.25">
      <c r="A11" s="166" t="s">
        <v>168</v>
      </c>
      <c r="B11" s="168">
        <f>'Various LRMC'!C84</f>
        <v>264</v>
      </c>
      <c r="C11" s="191"/>
      <c r="F11" s="166" t="s">
        <v>168</v>
      </c>
      <c r="G11" s="168">
        <f>'Various LRMC'!C107</f>
        <v>88</v>
      </c>
      <c r="H11" s="191"/>
    </row>
    <row r="12" spans="1:12" x14ac:dyDescent="0.25">
      <c r="A12" s="166" t="s">
        <v>169</v>
      </c>
      <c r="B12" s="168">
        <f>'Various LRMC'!C85</f>
        <v>163.29411764705884</v>
      </c>
      <c r="C12" s="191"/>
      <c r="F12" s="166" t="s">
        <v>174</v>
      </c>
      <c r="G12" s="168">
        <f>'Various LRMC'!C108</f>
        <v>31.412149182831733</v>
      </c>
      <c r="H12" s="191"/>
    </row>
    <row r="13" spans="1:12" x14ac:dyDescent="0.25">
      <c r="A13" s="166" t="s">
        <v>170</v>
      </c>
      <c r="B13" s="168">
        <f>'Various LRMC'!C86</f>
        <v>158.43529411764706</v>
      </c>
      <c r="C13" s="191"/>
      <c r="F13" s="166" t="s">
        <v>175</v>
      </c>
      <c r="G13" s="168">
        <f>'Various LRMC'!C109</f>
        <v>78.530372957079337</v>
      </c>
      <c r="H13" s="191"/>
    </row>
    <row r="14" spans="1:12" x14ac:dyDescent="0.25">
      <c r="A14" s="166" t="s">
        <v>171</v>
      </c>
      <c r="B14" s="168">
        <f>'Various LRMC'!C87</f>
        <v>188.85882352941178</v>
      </c>
      <c r="C14" s="191"/>
      <c r="F14" s="166" t="s">
        <v>176</v>
      </c>
      <c r="G14" s="168">
        <f>'Various LRMC'!C110</f>
        <v>54.971261069955531</v>
      </c>
      <c r="H14" s="191"/>
    </row>
    <row r="15" spans="1:12" x14ac:dyDescent="0.25">
      <c r="A15" s="166" t="s">
        <v>172</v>
      </c>
      <c r="B15" s="168">
        <f>'Various LRMC'!C88</f>
        <v>167.57647058823531</v>
      </c>
      <c r="C15" s="191"/>
      <c r="F15" s="166" t="s">
        <v>282</v>
      </c>
      <c r="G15" s="168">
        <f>'AECOM LRMC&amp;SRMC'!C43</f>
        <v>66.750817013517434</v>
      </c>
      <c r="H15" s="191"/>
    </row>
    <row r="16" spans="1:12" x14ac:dyDescent="0.25">
      <c r="A16" s="166" t="s">
        <v>173</v>
      </c>
      <c r="B16" s="168">
        <f>'Various LRMC'!C89</f>
        <v>169.41176470588235</v>
      </c>
      <c r="C16" s="191"/>
      <c r="F16" s="166" t="s">
        <v>281</v>
      </c>
      <c r="G16" s="168">
        <f>'AECOM LRMC&amp;SRMC'!C44</f>
        <v>70.677335661371401</v>
      </c>
      <c r="H16" s="191"/>
    </row>
    <row r="17" spans="1:8" x14ac:dyDescent="0.25">
      <c r="A17" s="166" t="s">
        <v>184</v>
      </c>
      <c r="B17" s="168">
        <f>'Various LRMC'!C90</f>
        <v>86.383410252787272</v>
      </c>
      <c r="C17" s="191"/>
      <c r="F17" s="166" t="s">
        <v>280</v>
      </c>
      <c r="G17" s="168">
        <f>'AECOM LRMC&amp;SRMC'!C45</f>
        <v>70.677335661371401</v>
      </c>
      <c r="H17" s="191"/>
    </row>
    <row r="18" spans="1:8" x14ac:dyDescent="0.25">
      <c r="A18" s="166" t="s">
        <v>185</v>
      </c>
      <c r="B18" s="168">
        <f>'Various LRMC'!C91</f>
        <v>157.06074591415867</v>
      </c>
      <c r="C18" s="191"/>
      <c r="F18" s="166" t="s">
        <v>279</v>
      </c>
      <c r="G18" s="168">
        <f>'AECOM LRMC&amp;SRMC'!C46</f>
        <v>36.909275289827285</v>
      </c>
      <c r="H18" s="191"/>
    </row>
    <row r="19" spans="1:8" x14ac:dyDescent="0.25">
      <c r="A19" s="166" t="s">
        <v>176</v>
      </c>
      <c r="B19" s="168">
        <f>'Various LRMC'!C92</f>
        <v>157.06074591415867</v>
      </c>
      <c r="C19" s="191"/>
      <c r="F19" s="166" t="s">
        <v>278</v>
      </c>
      <c r="G19" s="168">
        <f>'AECOM LRMC&amp;SRMC'!C47</f>
        <v>29.056237994119353</v>
      </c>
      <c r="H19" s="191"/>
    </row>
    <row r="20" spans="1:8" x14ac:dyDescent="0.25">
      <c r="A20" s="166" t="s">
        <v>176</v>
      </c>
      <c r="B20" s="168">
        <f>'AECOM LRMC&amp;SRMC'!C11</f>
        <v>219.88504427982213</v>
      </c>
      <c r="C20" s="191"/>
      <c r="F20" s="166" t="s">
        <v>277</v>
      </c>
      <c r="G20" s="168">
        <f>'AECOM LRMC&amp;SRMC'!C48</f>
        <v>130.3604191087517</v>
      </c>
      <c r="H20" s="191"/>
    </row>
    <row r="21" spans="1:8" x14ac:dyDescent="0.25">
      <c r="A21" s="166" t="s">
        <v>269</v>
      </c>
      <c r="B21" s="168">
        <f>'AECOM LRMC&amp;SRMC'!C12</f>
        <v>290.56237994119351</v>
      </c>
      <c r="C21" s="191"/>
      <c r="F21" s="166" t="s">
        <v>296</v>
      </c>
      <c r="G21" s="168">
        <f>'AECOM LRMC&amp;SRMC'!C49</f>
        <v>31.412149182831733</v>
      </c>
      <c r="H21" s="191"/>
    </row>
    <row r="22" spans="1:8" x14ac:dyDescent="0.25">
      <c r="A22" s="166" t="s">
        <v>128</v>
      </c>
      <c r="B22" s="168">
        <f>'AECOM LRMC&amp;SRMC'!C13</f>
        <v>212.03200698411419</v>
      </c>
      <c r="C22" s="191"/>
      <c r="F22" s="166" t="s">
        <v>297</v>
      </c>
      <c r="G22" s="168">
        <f>'AECOM LRMC&amp;SRMC'!C50</f>
        <v>86.383410252787272</v>
      </c>
      <c r="H22" s="191"/>
    </row>
    <row r="23" spans="1:8" x14ac:dyDescent="0.25">
      <c r="A23" s="166" t="s">
        <v>270</v>
      </c>
      <c r="B23" s="168">
        <f>'AECOM LRMC&amp;SRMC'!C14</f>
        <v>259.15023075836177</v>
      </c>
      <c r="C23" s="191"/>
      <c r="F23" s="75" t="s">
        <v>28</v>
      </c>
      <c r="G23" s="91">
        <f>AVERAGE(G7:G14)</f>
        <v>51.270472901233326</v>
      </c>
      <c r="H23" s="188"/>
    </row>
    <row r="24" spans="1:8" x14ac:dyDescent="0.25">
      <c r="A24" s="166" t="s">
        <v>130</v>
      </c>
      <c r="B24" s="168">
        <f>'AECOM LRMC&amp;SRMC'!C15</f>
        <v>227.73808157553006</v>
      </c>
      <c r="C24" s="191"/>
      <c r="F24" s="77"/>
      <c r="G24" s="77"/>
      <c r="H24" s="77"/>
    </row>
    <row r="25" spans="1:8" x14ac:dyDescent="0.25">
      <c r="A25" s="166" t="s">
        <v>271</v>
      </c>
      <c r="B25" s="168">
        <f>'AECOM LRMC&amp;SRMC'!C16</f>
        <v>164.91378320986661</v>
      </c>
      <c r="C25" s="191"/>
      <c r="F25" s="77"/>
      <c r="G25" s="77"/>
      <c r="H25" s="77"/>
    </row>
    <row r="26" spans="1:8" x14ac:dyDescent="0.25">
      <c r="A26" s="166" t="s">
        <v>272</v>
      </c>
      <c r="B26" s="168">
        <f>'AECOM LRMC&amp;SRMC'!C17</f>
        <v>172.76682050557454</v>
      </c>
      <c r="C26" s="191"/>
      <c r="F26" s="77"/>
      <c r="G26" s="77"/>
      <c r="H26" s="77"/>
    </row>
    <row r="27" spans="1:8" x14ac:dyDescent="0.25">
      <c r="A27" s="166" t="s">
        <v>134</v>
      </c>
      <c r="B27" s="168">
        <f>'AECOM LRMC&amp;SRMC'!C18</f>
        <v>212.03200698411419</v>
      </c>
      <c r="C27" s="191"/>
      <c r="F27" s="77"/>
      <c r="G27" s="77"/>
      <c r="H27" s="77"/>
    </row>
    <row r="28" spans="1:8" x14ac:dyDescent="0.25">
      <c r="A28" s="166" t="s">
        <v>273</v>
      </c>
      <c r="B28" s="168">
        <f>'AECOM LRMC&amp;SRMC'!C19</f>
        <v>259.15023075836177</v>
      </c>
      <c r="C28" s="191"/>
      <c r="F28" s="77"/>
      <c r="G28" s="77"/>
      <c r="H28" s="77"/>
    </row>
    <row r="29" spans="1:8" x14ac:dyDescent="0.25">
      <c r="A29" s="166" t="s">
        <v>132</v>
      </c>
      <c r="B29" s="168">
        <f>'AECOM LRMC&amp;SRMC'!C20</f>
        <v>172.76682050557454</v>
      </c>
      <c r="C29" s="191"/>
    </row>
    <row r="30" spans="1:8" x14ac:dyDescent="0.25">
      <c r="A30" s="166" t="s">
        <v>274</v>
      </c>
      <c r="B30" s="168">
        <f>'AECOM LRMC&amp;SRMC'!C21</f>
        <v>274.85630534977764</v>
      </c>
      <c r="C30" s="191"/>
    </row>
    <row r="31" spans="1:8" x14ac:dyDescent="0.25">
      <c r="A31" s="166" t="s">
        <v>275</v>
      </c>
      <c r="B31" s="168">
        <f>'AECOM LRMC&amp;SRMC'!C22</f>
        <v>376.94579019398077</v>
      </c>
      <c r="C31" s="191"/>
    </row>
    <row r="32" spans="1:8" x14ac:dyDescent="0.25">
      <c r="A32" s="75" t="s">
        <v>28</v>
      </c>
      <c r="B32" s="91">
        <f>AVERAGE(B7:B31)</f>
        <v>193.06523494862446</v>
      </c>
      <c r="C32" s="189"/>
    </row>
    <row r="33" spans="1:10" x14ac:dyDescent="0.25">
      <c r="A33" s="77"/>
      <c r="B33" s="77"/>
      <c r="C33" s="77"/>
    </row>
    <row r="34" spans="1:10" x14ac:dyDescent="0.25">
      <c r="A34" s="77"/>
      <c r="B34" s="77"/>
      <c r="C34" s="77"/>
    </row>
    <row r="35" spans="1:10" x14ac:dyDescent="0.25">
      <c r="A35" s="77"/>
      <c r="B35" s="77"/>
      <c r="C35" s="77"/>
      <c r="D35" s="77"/>
      <c r="E35" s="77"/>
      <c r="F35" s="77"/>
      <c r="G35" s="77"/>
      <c r="H35" s="77"/>
      <c r="I35" s="77"/>
    </row>
    <row r="37" spans="1:10" ht="23.25" x14ac:dyDescent="0.35">
      <c r="A37" s="193" t="s">
        <v>319</v>
      </c>
      <c r="B37" s="194"/>
      <c r="C37" s="194"/>
    </row>
    <row r="38" spans="1:10" x14ac:dyDescent="0.25">
      <c r="A38" s="194"/>
      <c r="B38" s="195" t="s">
        <v>18</v>
      </c>
      <c r="C38" s="195" t="s">
        <v>20</v>
      </c>
    </row>
    <row r="39" spans="1:10" x14ac:dyDescent="0.25">
      <c r="A39" s="194" t="s">
        <v>320</v>
      </c>
      <c r="B39" s="196">
        <f>ROUNDDOWN(PERCENTILE(B7:B31,0.25),-1)</f>
        <v>150</v>
      </c>
      <c r="C39" s="196">
        <f>ROUNDDOWN(PERCENTILE(B7:B31,0.75),-1)</f>
        <v>220</v>
      </c>
    </row>
    <row r="40" spans="1:10" x14ac:dyDescent="0.25">
      <c r="A40" s="194" t="s">
        <v>321</v>
      </c>
      <c r="B40" s="196">
        <f>ROUNDDOWN(PERCENTILE(G7:G22,0.25),-1)</f>
        <v>30</v>
      </c>
      <c r="C40" s="196">
        <f>ROUNDDOWN(PERCENTILE(G7:G22,0.75),-1)</f>
        <v>70</v>
      </c>
    </row>
    <row r="41" spans="1:10" x14ac:dyDescent="0.25">
      <c r="A41" s="194" t="s">
        <v>318</v>
      </c>
      <c r="B41" s="196">
        <f>L10</f>
        <v>91.27285019321819</v>
      </c>
      <c r="C41" s="196">
        <f>B41</f>
        <v>91.27285019321819</v>
      </c>
    </row>
    <row r="42" spans="1:10" x14ac:dyDescent="0.25">
      <c r="A42" s="194" t="s">
        <v>299</v>
      </c>
      <c r="B42" s="196">
        <f>B39+B40+B41</f>
        <v>271.27285019321818</v>
      </c>
      <c r="C42" s="196">
        <f>C39+C40+C41</f>
        <v>381.27285019321818</v>
      </c>
    </row>
    <row r="43" spans="1:10" x14ac:dyDescent="0.25">
      <c r="A43" s="194" t="s">
        <v>322</v>
      </c>
      <c r="B43" s="196">
        <f>B40+B41</f>
        <v>121.27285019321819</v>
      </c>
      <c r="C43" s="196">
        <f>C40+C41</f>
        <v>161.27285019321818</v>
      </c>
    </row>
    <row r="46" spans="1:10" ht="36" x14ac:dyDescent="0.55000000000000004">
      <c r="A46" s="192" t="s">
        <v>324</v>
      </c>
    </row>
    <row r="48" spans="1:10" x14ac:dyDescent="0.25">
      <c r="A48" s="78" t="s">
        <v>327</v>
      </c>
      <c r="B48" t="s">
        <v>356</v>
      </c>
      <c r="F48" t="s">
        <v>328</v>
      </c>
      <c r="J48" t="s">
        <v>110</v>
      </c>
    </row>
    <row r="49" spans="1:11" x14ac:dyDescent="0.25">
      <c r="A49" s="86" t="s">
        <v>176</v>
      </c>
      <c r="B49">
        <f>'AECOM LRMC&amp;SRMC'!B11*1000</f>
        <v>2800</v>
      </c>
      <c r="F49" s="86" t="s">
        <v>282</v>
      </c>
      <c r="G49">
        <f>'AECOM LRMC&amp;SRMC'!B43*1000</f>
        <v>850</v>
      </c>
      <c r="J49" t="s">
        <v>317</v>
      </c>
      <c r="K49">
        <f>'AECOM LRMC&amp;SRMC'!B75*1000</f>
        <v>940</v>
      </c>
    </row>
    <row r="50" spans="1:11" x14ac:dyDescent="0.25">
      <c r="A50" s="86" t="s">
        <v>269</v>
      </c>
      <c r="B50" s="77">
        <f>'AECOM LRMC&amp;SRMC'!B12*1000</f>
        <v>3700</v>
      </c>
      <c r="F50" s="86" t="s">
        <v>281</v>
      </c>
      <c r="G50" s="77">
        <f>'AECOM LRMC&amp;SRMC'!B44*1000</f>
        <v>900</v>
      </c>
      <c r="J50" t="s">
        <v>176</v>
      </c>
      <c r="K50">
        <f>'Various LRMC'!E53</f>
        <v>800</v>
      </c>
    </row>
    <row r="51" spans="1:11" x14ac:dyDescent="0.25">
      <c r="A51" s="86" t="s">
        <v>128</v>
      </c>
      <c r="B51" s="77">
        <f>'AECOM LRMC&amp;SRMC'!B13*1000</f>
        <v>2700</v>
      </c>
      <c r="F51" s="86" t="s">
        <v>280</v>
      </c>
      <c r="G51" s="77">
        <f>'AECOM LRMC&amp;SRMC'!B45*1000</f>
        <v>900</v>
      </c>
      <c r="J51" t="s">
        <v>342</v>
      </c>
      <c r="K51">
        <v>1000</v>
      </c>
    </row>
    <row r="52" spans="1:11" x14ac:dyDescent="0.25">
      <c r="A52" s="86" t="s">
        <v>270</v>
      </c>
      <c r="B52" s="77">
        <f>'AECOM LRMC&amp;SRMC'!B14*1000</f>
        <v>3300</v>
      </c>
      <c r="F52" s="86" t="s">
        <v>279</v>
      </c>
      <c r="G52" s="77">
        <f>'AECOM LRMC&amp;SRMC'!B46*1000</f>
        <v>470</v>
      </c>
      <c r="J52" t="s">
        <v>28</v>
      </c>
      <c r="K52" s="20">
        <f>AVERAGE(K49:K51)</f>
        <v>913.33333333333337</v>
      </c>
    </row>
    <row r="53" spans="1:11" x14ac:dyDescent="0.25">
      <c r="A53" s="86" t="s">
        <v>130</v>
      </c>
      <c r="B53" s="77">
        <f>'AECOM LRMC&amp;SRMC'!B15*1000</f>
        <v>2900</v>
      </c>
      <c r="F53" s="86" t="s">
        <v>278</v>
      </c>
      <c r="G53" s="77">
        <f>'AECOM LRMC&amp;SRMC'!B47*1000</f>
        <v>370</v>
      </c>
    </row>
    <row r="54" spans="1:11" x14ac:dyDescent="0.25">
      <c r="A54" s="86" t="s">
        <v>271</v>
      </c>
      <c r="B54" s="77">
        <f>'AECOM LRMC&amp;SRMC'!B16*1000</f>
        <v>2100</v>
      </c>
      <c r="F54" s="86" t="s">
        <v>277</v>
      </c>
      <c r="G54" s="77">
        <f>'AECOM LRMC&amp;SRMC'!B48*1000</f>
        <v>1660</v>
      </c>
    </row>
    <row r="55" spans="1:11" x14ac:dyDescent="0.25">
      <c r="A55" s="86" t="s">
        <v>272</v>
      </c>
      <c r="B55" s="77">
        <f>'AECOM LRMC&amp;SRMC'!B17*1000</f>
        <v>2200</v>
      </c>
      <c r="F55" s="86" t="s">
        <v>296</v>
      </c>
      <c r="G55" s="77">
        <f>'AECOM LRMC&amp;SRMC'!B49*1000</f>
        <v>400</v>
      </c>
    </row>
    <row r="56" spans="1:11" x14ac:dyDescent="0.25">
      <c r="A56" s="86" t="s">
        <v>134</v>
      </c>
      <c r="B56" s="77">
        <f>'AECOM LRMC&amp;SRMC'!B18*1000</f>
        <v>2700</v>
      </c>
      <c r="F56" s="86" t="s">
        <v>297</v>
      </c>
      <c r="G56" s="77">
        <f>'AECOM LRMC&amp;SRMC'!B50*1000</f>
        <v>1100</v>
      </c>
    </row>
    <row r="57" spans="1:11" x14ac:dyDescent="0.25">
      <c r="A57" s="86" t="s">
        <v>273</v>
      </c>
      <c r="B57" s="77">
        <f>'AECOM LRMC&amp;SRMC'!B19*1000</f>
        <v>3300</v>
      </c>
      <c r="F57" s="86" t="s">
        <v>176</v>
      </c>
      <c r="G57" s="77">
        <f>'Various LRMC'!E52</f>
        <v>700</v>
      </c>
    </row>
    <row r="58" spans="1:11" x14ac:dyDescent="0.25">
      <c r="A58" s="86" t="s">
        <v>132</v>
      </c>
      <c r="B58" s="77">
        <f>'AECOM LRMC&amp;SRMC'!B20*1000</f>
        <v>2200</v>
      </c>
    </row>
    <row r="59" spans="1:11" x14ac:dyDescent="0.25">
      <c r="A59" s="86" t="s">
        <v>274</v>
      </c>
      <c r="B59" s="77">
        <f>'AECOM LRMC&amp;SRMC'!B21*1000</f>
        <v>3500</v>
      </c>
    </row>
    <row r="60" spans="1:11" x14ac:dyDescent="0.25">
      <c r="A60" s="136" t="s">
        <v>275</v>
      </c>
      <c r="B60" s="77">
        <f>'AECOM LRMC&amp;SRMC'!B22*1000</f>
        <v>4800</v>
      </c>
    </row>
    <row r="61" spans="1:11" x14ac:dyDescent="0.25">
      <c r="A61" s="141" t="s">
        <v>325</v>
      </c>
      <c r="B61">
        <v>1500</v>
      </c>
    </row>
    <row r="62" spans="1:11" x14ac:dyDescent="0.25">
      <c r="A62" s="141" t="s">
        <v>326</v>
      </c>
      <c r="B62">
        <v>2000</v>
      </c>
    </row>
    <row r="65" spans="1:3" ht="23.25" x14ac:dyDescent="0.35">
      <c r="A65" s="193" t="s">
        <v>319</v>
      </c>
      <c r="B65" s="194"/>
      <c r="C65" s="194"/>
    </row>
    <row r="66" spans="1:3" x14ac:dyDescent="0.25">
      <c r="A66" s="194"/>
      <c r="B66" s="195" t="s">
        <v>18</v>
      </c>
      <c r="C66" s="195" t="s">
        <v>20</v>
      </c>
    </row>
    <row r="67" spans="1:3" x14ac:dyDescent="0.25">
      <c r="A67" s="194" t="s">
        <v>331</v>
      </c>
      <c r="B67" s="196">
        <f>ROUNDDOWN(PERCENTILE(B49:B62,0.25),-1)</f>
        <v>2200</v>
      </c>
      <c r="C67" s="196">
        <f>ROUNDDOWN(PERCENTILE(B49:B62,0.75),-1)</f>
        <v>3300</v>
      </c>
    </row>
    <row r="68" spans="1:3" x14ac:dyDescent="0.25">
      <c r="A68" s="194" t="s">
        <v>332</v>
      </c>
      <c r="B68" s="196">
        <f>ROUNDDOWN(PERCENTILE(G49:G57,0.25),-1)</f>
        <v>470</v>
      </c>
      <c r="C68" s="196">
        <f>ROUNDDOWN(PERCENTILE(G49:G57,0.75),-1)</f>
        <v>900</v>
      </c>
    </row>
    <row r="69" spans="1:3" x14ac:dyDescent="0.25">
      <c r="A69" s="194" t="s">
        <v>333</v>
      </c>
      <c r="B69" s="196">
        <f>K52</f>
        <v>913.33333333333337</v>
      </c>
      <c r="C69" s="196">
        <f>B69</f>
        <v>913.33333333333337</v>
      </c>
    </row>
    <row r="70" spans="1:3" x14ac:dyDescent="0.25">
      <c r="A70" s="194" t="s">
        <v>299</v>
      </c>
      <c r="B70" s="196">
        <f>B67+B68+B69</f>
        <v>3583.3333333333335</v>
      </c>
      <c r="C70" s="196">
        <f>C67+C68+C69</f>
        <v>5113.333333333333</v>
      </c>
    </row>
    <row r="71" spans="1:3" x14ac:dyDescent="0.25">
      <c r="A71" s="194" t="s">
        <v>322</v>
      </c>
      <c r="B71" s="196">
        <f>B68+B69</f>
        <v>1383.3333333333335</v>
      </c>
      <c r="C71" s="196">
        <f>C68+C69</f>
        <v>1813.3333333333335</v>
      </c>
    </row>
  </sheetData>
  <hyperlinks>
    <hyperlink ref="F1" location="Contents!A1" display="Back to the Contents of this spreadsheet"/>
  </hyperlink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T222"/>
  <sheetViews>
    <sheetView topLeftCell="E1" zoomScaleNormal="100" workbookViewId="0">
      <selection activeCell="K12" sqref="K12"/>
    </sheetView>
  </sheetViews>
  <sheetFormatPr defaultRowHeight="15" x14ac:dyDescent="0.25"/>
  <cols>
    <col min="1" max="1" width="18.85546875" style="77" customWidth="1"/>
    <col min="2" max="2" width="61.28515625" style="77" customWidth="1"/>
    <col min="3" max="3" width="24.140625" style="77" customWidth="1"/>
    <col min="4" max="4" width="23.7109375" style="77" customWidth="1"/>
    <col min="5" max="16384" width="9.140625" style="77"/>
  </cols>
  <sheetData>
    <row r="1" spans="1:20" x14ac:dyDescent="0.25">
      <c r="F1" s="223" t="s">
        <v>389</v>
      </c>
    </row>
    <row r="10" spans="1:20" x14ac:dyDescent="0.25">
      <c r="B10" s="77" t="s">
        <v>118</v>
      </c>
      <c r="C10" s="77">
        <v>0.08</v>
      </c>
    </row>
    <row r="11" spans="1:20" x14ac:dyDescent="0.25">
      <c r="D11" s="77" t="s">
        <v>119</v>
      </c>
    </row>
    <row r="12" spans="1:20" ht="45" x14ac:dyDescent="0.25">
      <c r="A12" s="82" t="s">
        <v>32</v>
      </c>
      <c r="B12" s="83" t="s">
        <v>120</v>
      </c>
      <c r="C12" s="82"/>
      <c r="D12" s="82">
        <v>2009</v>
      </c>
    </row>
    <row r="13" spans="1:20" ht="82.5" customHeight="1" x14ac:dyDescent="0.25">
      <c r="A13" s="83"/>
      <c r="B13" s="83" t="s">
        <v>121</v>
      </c>
      <c r="C13" s="83"/>
      <c r="D13" s="83"/>
    </row>
    <row r="14" spans="1:20" x14ac:dyDescent="0.25">
      <c r="A14" s="75"/>
      <c r="B14" s="75"/>
      <c r="C14" s="75"/>
      <c r="D14" s="75"/>
      <c r="R14" s="77" t="s">
        <v>122</v>
      </c>
    </row>
    <row r="15" spans="1:20" x14ac:dyDescent="0.25">
      <c r="A15" s="75" t="s">
        <v>352</v>
      </c>
      <c r="B15" s="75" t="s">
        <v>123</v>
      </c>
      <c r="C15" s="75"/>
      <c r="D15" s="75">
        <v>2012</v>
      </c>
    </row>
    <row r="16" spans="1:20" x14ac:dyDescent="0.25">
      <c r="A16" s="75"/>
      <c r="B16" s="75" t="s">
        <v>124</v>
      </c>
      <c r="C16" s="75"/>
      <c r="D16" s="75"/>
      <c r="S16" s="77" t="s">
        <v>125</v>
      </c>
      <c r="T16" s="77" t="s">
        <v>126</v>
      </c>
    </row>
    <row r="17" spans="1:20" x14ac:dyDescent="0.25">
      <c r="A17" s="75"/>
      <c r="B17" s="75">
        <f>2/3.5</f>
        <v>0.5714285714285714</v>
      </c>
      <c r="C17" s="75" t="s">
        <v>127</v>
      </c>
      <c r="D17" s="75">
        <v>2011</v>
      </c>
      <c r="R17" s="77" t="s">
        <v>128</v>
      </c>
      <c r="S17" s="77">
        <f>T17/0.85</f>
        <v>163.29411764705884</v>
      </c>
      <c r="T17" s="77">
        <v>138.80000000000001</v>
      </c>
    </row>
    <row r="18" spans="1:20" x14ac:dyDescent="0.25">
      <c r="A18" s="75"/>
      <c r="B18" s="75">
        <f>0.7/3.5</f>
        <v>0.19999999999999998</v>
      </c>
      <c r="C18" s="75" t="s">
        <v>129</v>
      </c>
      <c r="D18" s="75">
        <v>2011</v>
      </c>
      <c r="R18" s="77" t="s">
        <v>130</v>
      </c>
      <c r="S18" s="77">
        <f>T18/0.85</f>
        <v>158.43529411764706</v>
      </c>
      <c r="T18" s="77">
        <v>134.66999999999999</v>
      </c>
    </row>
    <row r="19" spans="1:20" x14ac:dyDescent="0.25">
      <c r="A19" s="75"/>
      <c r="B19" s="75">
        <f>0.8/3.5</f>
        <v>0.22857142857142859</v>
      </c>
      <c r="C19" s="75" t="s">
        <v>131</v>
      </c>
      <c r="D19" s="75">
        <v>2011</v>
      </c>
      <c r="R19" s="77" t="s">
        <v>132</v>
      </c>
      <c r="S19" s="77">
        <f>T19/0.85</f>
        <v>188.85882352941178</v>
      </c>
      <c r="T19" s="77">
        <v>160.53</v>
      </c>
    </row>
    <row r="20" spans="1:20" x14ac:dyDescent="0.25">
      <c r="A20" s="75"/>
      <c r="B20" s="75">
        <f>B17/B18</f>
        <v>2.8571428571428572</v>
      </c>
      <c r="C20" s="75" t="s">
        <v>133</v>
      </c>
      <c r="D20" s="75">
        <v>2011</v>
      </c>
      <c r="R20" s="77" t="s">
        <v>134</v>
      </c>
      <c r="S20" s="77">
        <f>T20/0.85</f>
        <v>167.57647058823531</v>
      </c>
      <c r="T20" s="77">
        <v>142.44</v>
      </c>
    </row>
    <row r="21" spans="1:20" x14ac:dyDescent="0.25">
      <c r="A21" s="75"/>
      <c r="B21" s="127">
        <f>2/2.7</f>
        <v>0.7407407407407407</v>
      </c>
      <c r="C21" s="75" t="s">
        <v>135</v>
      </c>
      <c r="D21" s="75">
        <v>2011</v>
      </c>
      <c r="R21" s="77" t="s">
        <v>136</v>
      </c>
      <c r="S21" s="77">
        <f>T21/0.85</f>
        <v>169.41176470588235</v>
      </c>
      <c r="T21" s="77">
        <v>144</v>
      </c>
    </row>
    <row r="22" spans="1:20" x14ac:dyDescent="0.25">
      <c r="A22" s="75"/>
      <c r="B22" s="127">
        <v>0.75</v>
      </c>
      <c r="C22" s="75"/>
      <c r="D22" s="75"/>
    </row>
    <row r="23" spans="1:20" x14ac:dyDescent="0.25">
      <c r="A23" s="75"/>
      <c r="B23" s="84" t="s">
        <v>137</v>
      </c>
      <c r="C23" s="75"/>
      <c r="D23" s="75" t="s">
        <v>138</v>
      </c>
    </row>
    <row r="24" spans="1:20" x14ac:dyDescent="0.25">
      <c r="A24" s="75"/>
      <c r="B24" s="75" t="s">
        <v>139</v>
      </c>
      <c r="C24" s="75"/>
      <c r="D24" s="75"/>
    </row>
    <row r="25" spans="1:20" x14ac:dyDescent="0.25">
      <c r="A25" s="75"/>
      <c r="B25" s="75" t="s">
        <v>140</v>
      </c>
      <c r="C25" s="75"/>
      <c r="D25" s="75"/>
    </row>
    <row r="26" spans="1:20" x14ac:dyDescent="0.25">
      <c r="A26" s="75"/>
      <c r="B26" s="75" t="s">
        <v>141</v>
      </c>
      <c r="C26" s="75"/>
      <c r="D26" s="75"/>
    </row>
    <row r="27" spans="1:20" x14ac:dyDescent="0.25">
      <c r="A27" s="75"/>
      <c r="B27" s="75"/>
      <c r="C27" s="75"/>
      <c r="D27" s="75"/>
    </row>
    <row r="28" spans="1:20" x14ac:dyDescent="0.25">
      <c r="A28" s="75"/>
      <c r="B28" s="85" t="s">
        <v>142</v>
      </c>
      <c r="C28" s="75"/>
      <c r="D28" s="75"/>
    </row>
    <row r="29" spans="1:20" x14ac:dyDescent="0.25">
      <c r="A29" s="75"/>
      <c r="B29" s="75" t="s">
        <v>143</v>
      </c>
      <c r="C29" s="75"/>
      <c r="D29" s="75"/>
    </row>
    <row r="30" spans="1:20" x14ac:dyDescent="0.25">
      <c r="A30" s="75"/>
      <c r="B30" s="75" t="s">
        <v>144</v>
      </c>
      <c r="C30" s="75"/>
      <c r="D30" s="75"/>
    </row>
    <row r="31" spans="1:20" x14ac:dyDescent="0.25">
      <c r="A31" s="75"/>
      <c r="B31" s="75" t="s">
        <v>145</v>
      </c>
      <c r="C31" s="75"/>
      <c r="D31" s="75"/>
    </row>
    <row r="32" spans="1:20" x14ac:dyDescent="0.25">
      <c r="A32" s="75"/>
      <c r="B32" s="84"/>
      <c r="C32" s="75"/>
      <c r="D32" s="75"/>
    </row>
    <row r="33" spans="1:6" x14ac:dyDescent="0.25">
      <c r="A33" s="75"/>
      <c r="B33" s="75"/>
      <c r="C33" s="75"/>
      <c r="D33" s="75"/>
    </row>
    <row r="34" spans="1:6" x14ac:dyDescent="0.25">
      <c r="A34" s="75"/>
      <c r="B34" s="75"/>
      <c r="C34" s="75"/>
      <c r="D34" s="75"/>
    </row>
    <row r="35" spans="1:6" x14ac:dyDescent="0.25">
      <c r="A35" s="75"/>
      <c r="B35" s="75"/>
      <c r="C35" s="75"/>
      <c r="D35" s="75"/>
    </row>
    <row r="36" spans="1:6" x14ac:dyDescent="0.25">
      <c r="A36" s="75"/>
      <c r="B36" s="84" t="s">
        <v>146</v>
      </c>
      <c r="C36" s="75"/>
      <c r="D36" s="75"/>
    </row>
    <row r="37" spans="1:6" x14ac:dyDescent="0.25">
      <c r="A37" s="75"/>
      <c r="B37" s="75" t="s">
        <v>147</v>
      </c>
      <c r="C37" s="75"/>
      <c r="D37" s="75"/>
    </row>
    <row r="38" spans="1:6" x14ac:dyDescent="0.25">
      <c r="A38" s="75"/>
      <c r="B38" s="75" t="s">
        <v>148</v>
      </c>
      <c r="C38" s="75"/>
      <c r="D38" s="75"/>
    </row>
    <row r="40" spans="1:6" x14ac:dyDescent="0.25">
      <c r="A40" s="86"/>
      <c r="B40" s="86"/>
      <c r="C40" s="86"/>
      <c r="D40" s="86"/>
    </row>
    <row r="41" spans="1:6" x14ac:dyDescent="0.25">
      <c r="A41" s="86"/>
      <c r="B41" s="86"/>
      <c r="C41" s="86"/>
      <c r="D41" s="86"/>
      <c r="F41" s="77" t="s">
        <v>251</v>
      </c>
    </row>
    <row r="42" spans="1:6" x14ac:dyDescent="0.25">
      <c r="A42" s="86" t="s">
        <v>149</v>
      </c>
      <c r="B42" s="86"/>
      <c r="C42" s="86"/>
      <c r="D42" s="86"/>
    </row>
    <row r="43" spans="1:6" ht="45" x14ac:dyDescent="0.25">
      <c r="A43" s="86"/>
      <c r="B43" s="87" t="s">
        <v>150</v>
      </c>
      <c r="C43" s="86"/>
      <c r="D43" s="86"/>
    </row>
    <row r="45" spans="1:6" x14ac:dyDescent="0.25">
      <c r="A45" s="75" t="s">
        <v>151</v>
      </c>
      <c r="B45" s="75"/>
      <c r="C45" s="75" t="s">
        <v>152</v>
      </c>
      <c r="D45" s="75"/>
      <c r="E45" s="88" t="s">
        <v>256</v>
      </c>
      <c r="F45" s="88"/>
    </row>
    <row r="46" spans="1:6" x14ac:dyDescent="0.25">
      <c r="A46" s="75" t="s">
        <v>153</v>
      </c>
      <c r="B46" s="75" t="s">
        <v>154</v>
      </c>
      <c r="C46" s="75"/>
      <c r="D46" s="75"/>
      <c r="E46" s="89">
        <f>1100*discount_rate_LRMC/((1+discount_rate_LRMC)^0-(1/(1+discount_rate_LRMC))^50)</f>
        <v>89.917143977777116</v>
      </c>
      <c r="F46" s="89">
        <f>2000*discount_rate_LRMC/((1+discount_rate_LRMC)^0-(1/(1+discount_rate_LRMC))^50)</f>
        <v>163.48571632323112</v>
      </c>
    </row>
    <row r="47" spans="1:6" x14ac:dyDescent="0.25">
      <c r="A47" s="75" t="s">
        <v>155</v>
      </c>
      <c r="B47" s="75" t="s">
        <v>156</v>
      </c>
      <c r="C47" s="90" t="s">
        <v>18</v>
      </c>
      <c r="D47" s="90" t="s">
        <v>20</v>
      </c>
      <c r="E47" s="89">
        <f>400*0.09/((1+0.09)^0-(1/1.09)^50)</f>
        <v>36.490747233041574</v>
      </c>
      <c r="F47" s="89">
        <f>1000*0.09/((1+0.09)^0-(1/1.09)^50)</f>
        <v>91.226868082603929</v>
      </c>
    </row>
    <row r="48" spans="1:6" x14ac:dyDescent="0.25">
      <c r="A48" s="75"/>
      <c r="B48" s="75" t="s">
        <v>157</v>
      </c>
      <c r="C48" s="91">
        <f>1100*discount_rate_LRMC/((1+discount_rate_LRMC)^0.5-(1/(1+discount_rate_LRMC))^50.5)</f>
        <v>86.383410252787272</v>
      </c>
      <c r="D48" s="91">
        <f>2000*discount_rate_LRMC/((1+discount_rate_LRMC)^0.5-(1/(1+discount_rate_LRMC))^50.5)</f>
        <v>157.06074591415867</v>
      </c>
      <c r="E48" s="20"/>
    </row>
    <row r="49" spans="1:6" x14ac:dyDescent="0.25">
      <c r="A49" s="75"/>
      <c r="B49" s="75" t="s">
        <v>158</v>
      </c>
      <c r="C49" s="91">
        <f>400*discount_rate_LRMC/((1+discount_rate_LRMC)^0.5-(1/(1+discount_rate_LRMC))^50.5)</f>
        <v>31.412149182831733</v>
      </c>
      <c r="D49" s="91">
        <f>1000*discount_rate_LRMC/((1+discount_rate_LRMC)^0.5-(1/(1+discount_rate_LRMC))^50.5)</f>
        <v>78.530372957079337</v>
      </c>
    </row>
    <row r="52" spans="1:6" ht="105" x14ac:dyDescent="0.25">
      <c r="A52" s="86" t="s">
        <v>159</v>
      </c>
      <c r="B52" s="87" t="s">
        <v>257</v>
      </c>
      <c r="C52" s="87" t="s">
        <v>160</v>
      </c>
      <c r="D52" s="86"/>
      <c r="E52" s="77">
        <v>700</v>
      </c>
      <c r="F52" s="77" t="s">
        <v>329</v>
      </c>
    </row>
    <row r="53" spans="1:6" x14ac:dyDescent="0.25">
      <c r="A53" s="86"/>
      <c r="B53" s="86"/>
      <c r="C53" s="92"/>
      <c r="D53" s="92"/>
      <c r="E53" s="77">
        <v>800</v>
      </c>
      <c r="F53" s="77" t="s">
        <v>330</v>
      </c>
    </row>
    <row r="54" spans="1:6" x14ac:dyDescent="0.25">
      <c r="A54" s="86"/>
      <c r="B54" s="86" t="s">
        <v>161</v>
      </c>
      <c r="C54" s="93">
        <f>2000*discount_rate_LRMC/((1+discount_rate_LRMC)^0.5-(1/(1+discount_rate_LRMC))^50.5)</f>
        <v>157.06074591415867</v>
      </c>
      <c r="D54" s="93"/>
    </row>
    <row r="55" spans="1:6" x14ac:dyDescent="0.25">
      <c r="A55" s="86"/>
      <c r="B55" s="86" t="s">
        <v>162</v>
      </c>
      <c r="C55" s="93">
        <f>700*discount_rate_LRMC/((1+discount_rate_LRMC)^0.5-(1/(1+discount_rate_LRMC))^50.5)</f>
        <v>54.971261069955531</v>
      </c>
      <c r="D55" s="93"/>
      <c r="E55" s="20"/>
    </row>
    <row r="58" spans="1:6" x14ac:dyDescent="0.25">
      <c r="B58" s="185" t="s">
        <v>303</v>
      </c>
      <c r="C58" s="95" t="s">
        <v>163</v>
      </c>
    </row>
    <row r="59" spans="1:6" x14ac:dyDescent="0.25">
      <c r="B59" s="77" t="s">
        <v>164</v>
      </c>
      <c r="C59" s="77">
        <f>D_ratio*262</f>
        <v>196.5</v>
      </c>
    </row>
    <row r="60" spans="1:6" x14ac:dyDescent="0.25">
      <c r="B60" s="77" t="s">
        <v>165</v>
      </c>
      <c r="C60" s="77">
        <f>D_ratio*116</f>
        <v>87</v>
      </c>
    </row>
    <row r="61" spans="1:6" x14ac:dyDescent="0.25">
      <c r="B61" s="77" t="s">
        <v>166</v>
      </c>
      <c r="C61" s="77">
        <f>146*D_ratio</f>
        <v>109.5</v>
      </c>
    </row>
    <row r="62" spans="1:6" x14ac:dyDescent="0.25">
      <c r="B62" s="77" t="s">
        <v>167</v>
      </c>
      <c r="C62" s="77">
        <f>D_ratio*105</f>
        <v>78.75</v>
      </c>
    </row>
    <row r="63" spans="1:6" x14ac:dyDescent="0.25">
      <c r="B63" s="77" t="s">
        <v>168</v>
      </c>
      <c r="C63" s="77">
        <f>0.75*352</f>
        <v>264</v>
      </c>
    </row>
    <row r="64" spans="1:6" x14ac:dyDescent="0.25">
      <c r="B64" s="77" t="s">
        <v>169</v>
      </c>
      <c r="C64" s="77">
        <f>S17</f>
        <v>163.29411764705884</v>
      </c>
    </row>
    <row r="65" spans="2:8" x14ac:dyDescent="0.25">
      <c r="B65" s="77" t="s">
        <v>170</v>
      </c>
      <c r="C65" s="77">
        <f>S18</f>
        <v>158.43529411764706</v>
      </c>
    </row>
    <row r="66" spans="2:8" x14ac:dyDescent="0.25">
      <c r="B66" s="77" t="s">
        <v>171</v>
      </c>
      <c r="C66" s="77">
        <f>S19</f>
        <v>188.85882352941178</v>
      </c>
    </row>
    <row r="67" spans="2:8" x14ac:dyDescent="0.25">
      <c r="B67" s="77" t="s">
        <v>172</v>
      </c>
      <c r="C67" s="77">
        <f>S20</f>
        <v>167.57647058823531</v>
      </c>
    </row>
    <row r="68" spans="2:8" x14ac:dyDescent="0.25">
      <c r="B68" s="77" t="s">
        <v>173</v>
      </c>
      <c r="C68" s="77">
        <f>S21</f>
        <v>169.41176470588235</v>
      </c>
    </row>
    <row r="69" spans="2:8" x14ac:dyDescent="0.25">
      <c r="B69" s="77" t="s">
        <v>174</v>
      </c>
      <c r="C69" s="20">
        <f>C48</f>
        <v>86.383410252787272</v>
      </c>
    </row>
    <row r="70" spans="2:8" x14ac:dyDescent="0.25">
      <c r="B70" s="77" t="s">
        <v>175</v>
      </c>
      <c r="C70" s="20">
        <f>D48</f>
        <v>157.06074591415867</v>
      </c>
    </row>
    <row r="71" spans="2:8" x14ac:dyDescent="0.25">
      <c r="B71" s="77" t="s">
        <v>176</v>
      </c>
      <c r="C71" s="20">
        <f>C54</f>
        <v>157.06074591415867</v>
      </c>
    </row>
    <row r="72" spans="2:8" x14ac:dyDescent="0.25">
      <c r="B72" s="94" t="s">
        <v>28</v>
      </c>
      <c r="C72" s="96">
        <f>AVERAGE(C59:C71)</f>
        <v>152.60241328225692</v>
      </c>
    </row>
    <row r="73" spans="2:8" x14ac:dyDescent="0.25">
      <c r="B73" s="94" t="s">
        <v>177</v>
      </c>
      <c r="C73" s="97">
        <f>SKEW(C59:C71)</f>
        <v>0.32987385943098918</v>
      </c>
    </row>
    <row r="74" spans="2:8" x14ac:dyDescent="0.25">
      <c r="B74" s="77" t="s">
        <v>178</v>
      </c>
      <c r="C74" s="77">
        <f>STDEV(C59:C71)</f>
        <v>51.918560335308499</v>
      </c>
    </row>
    <row r="75" spans="2:8" x14ac:dyDescent="0.25">
      <c r="B75" s="94" t="s">
        <v>18</v>
      </c>
      <c r="C75" s="96">
        <f>ROUNDDOWN(PERCENTILE(C59:C71,0.25),-1)</f>
        <v>100</v>
      </c>
    </row>
    <row r="76" spans="2:8" x14ac:dyDescent="0.25">
      <c r="B76" s="94" t="s">
        <v>47</v>
      </c>
      <c r="C76" s="96">
        <f>ROUNDDOWN(PERCENTILE(C59:C71,0.75),-1)</f>
        <v>160</v>
      </c>
    </row>
    <row r="79" spans="2:8" x14ac:dyDescent="0.25">
      <c r="B79" s="185" t="s">
        <v>312</v>
      </c>
      <c r="C79" s="95" t="s">
        <v>163</v>
      </c>
      <c r="D79" s="95" t="s">
        <v>179</v>
      </c>
      <c r="F79" s="78" t="s">
        <v>180</v>
      </c>
    </row>
    <row r="80" spans="2:8" x14ac:dyDescent="0.25">
      <c r="B80" s="77" t="s">
        <v>164</v>
      </c>
      <c r="C80" s="20">
        <f>C59</f>
        <v>196.5</v>
      </c>
      <c r="D80" s="77">
        <f>(C80-C$83)/(C$84-C$83)</f>
        <v>0.63562753036437247</v>
      </c>
      <c r="F80" s="86" t="s">
        <v>45</v>
      </c>
      <c r="G80" s="86">
        <f>C83</f>
        <v>78.75</v>
      </c>
      <c r="H80" s="86"/>
    </row>
    <row r="81" spans="2:8" x14ac:dyDescent="0.25">
      <c r="B81" s="77" t="s">
        <v>165</v>
      </c>
      <c r="C81" s="20">
        <f t="shared" ref="C81:C92" si="0">C60</f>
        <v>87</v>
      </c>
      <c r="D81" s="77">
        <f t="shared" ref="D81:D92" si="1">(C81-C$83)/(C$84-C$83)</f>
        <v>4.4534412955465584E-2</v>
      </c>
      <c r="F81" s="86" t="s">
        <v>47</v>
      </c>
      <c r="G81" s="86">
        <f>C84</f>
        <v>264</v>
      </c>
      <c r="H81" s="86"/>
    </row>
    <row r="82" spans="2:8" x14ac:dyDescent="0.25">
      <c r="B82" s="77" t="s">
        <v>166</v>
      </c>
      <c r="C82" s="20">
        <f t="shared" si="0"/>
        <v>109.5</v>
      </c>
      <c r="D82" s="77">
        <f t="shared" si="1"/>
        <v>0.16599190283400811</v>
      </c>
      <c r="F82" s="86" t="s">
        <v>181</v>
      </c>
      <c r="G82" s="86">
        <f>C93</f>
        <v>152.60241328225692</v>
      </c>
      <c r="H82" s="86"/>
    </row>
    <row r="83" spans="2:8" x14ac:dyDescent="0.25">
      <c r="B83" s="77" t="s">
        <v>167</v>
      </c>
      <c r="C83" s="20">
        <f t="shared" si="0"/>
        <v>78.75</v>
      </c>
      <c r="D83" s="77">
        <f t="shared" si="1"/>
        <v>0</v>
      </c>
      <c r="F83" s="86" t="s">
        <v>182</v>
      </c>
      <c r="G83" s="150">
        <f>(1/(1+G87/G86))*(G81-G80)+G80</f>
        <v>152.60241328225692</v>
      </c>
      <c r="H83" s="98"/>
    </row>
    <row r="84" spans="2:8" x14ac:dyDescent="0.25">
      <c r="B84" s="77" t="s">
        <v>168</v>
      </c>
      <c r="C84" s="20">
        <f t="shared" si="0"/>
        <v>264</v>
      </c>
      <c r="D84" s="77">
        <f t="shared" si="1"/>
        <v>1</v>
      </c>
      <c r="F84" s="86" t="s">
        <v>302</v>
      </c>
      <c r="G84" s="98">
        <f>_xlfn.BETA.INV(0.75,G86,G87,G80,G81)</f>
        <v>194.10630512567585</v>
      </c>
      <c r="H84" s="99">
        <f>MROUND(G84,10)</f>
        <v>190</v>
      </c>
    </row>
    <row r="85" spans="2:8" x14ac:dyDescent="0.25">
      <c r="B85" s="77" t="s">
        <v>169</v>
      </c>
      <c r="C85" s="20">
        <f t="shared" si="0"/>
        <v>163.29411764705884</v>
      </c>
      <c r="D85" s="77">
        <f t="shared" si="1"/>
        <v>0.45637850281813142</v>
      </c>
      <c r="F85" s="86" t="s">
        <v>301</v>
      </c>
      <c r="G85" s="86">
        <f>_xlfn.BETA.INV(0.25,G86,G87,G80,G81)</f>
        <v>106.50649233811599</v>
      </c>
      <c r="H85" s="99">
        <f>MROUND(G85,10)</f>
        <v>110</v>
      </c>
    </row>
    <row r="86" spans="2:8" x14ac:dyDescent="0.25">
      <c r="B86" s="77" t="s">
        <v>170</v>
      </c>
      <c r="C86" s="20">
        <f t="shared" si="0"/>
        <v>158.43529411764706</v>
      </c>
      <c r="D86" s="77">
        <f t="shared" si="1"/>
        <v>0.43015003572279115</v>
      </c>
      <c r="F86" s="86" t="s">
        <v>92</v>
      </c>
      <c r="G86" s="100">
        <f>D95</f>
        <v>0.81808737213241089</v>
      </c>
      <c r="H86" s="100"/>
    </row>
    <row r="87" spans="2:8" x14ac:dyDescent="0.25">
      <c r="B87" s="77" t="s">
        <v>171</v>
      </c>
      <c r="C87" s="20">
        <f t="shared" si="0"/>
        <v>188.85882352941178</v>
      </c>
      <c r="D87" s="77">
        <f t="shared" si="1"/>
        <v>0.59437961419385577</v>
      </c>
      <c r="F87" s="86" t="s">
        <v>93</v>
      </c>
      <c r="G87" s="100">
        <f>D96</f>
        <v>1.2339875561210065</v>
      </c>
      <c r="H87" s="100"/>
    </row>
    <row r="88" spans="2:8" x14ac:dyDescent="0.25">
      <c r="B88" s="77" t="s">
        <v>172</v>
      </c>
      <c r="C88" s="20">
        <f t="shared" si="0"/>
        <v>167.57647058823531</v>
      </c>
      <c r="D88" s="77">
        <f t="shared" si="1"/>
        <v>0.47949511788521088</v>
      </c>
      <c r="F88" s="86" t="s">
        <v>183</v>
      </c>
      <c r="G88" s="98">
        <f>(G83-G82)^2</f>
        <v>0</v>
      </c>
      <c r="H88" s="98"/>
    </row>
    <row r="89" spans="2:8" x14ac:dyDescent="0.25">
      <c r="B89" s="77" t="s">
        <v>173</v>
      </c>
      <c r="C89" s="20">
        <f t="shared" si="0"/>
        <v>169.41176470588235</v>
      </c>
      <c r="D89" s="77">
        <f t="shared" si="1"/>
        <v>0.48940223862824478</v>
      </c>
    </row>
    <row r="90" spans="2:8" x14ac:dyDescent="0.25">
      <c r="B90" s="77" t="s">
        <v>184</v>
      </c>
      <c r="C90" s="20">
        <f t="shared" si="0"/>
        <v>86.383410252787272</v>
      </c>
      <c r="D90" s="77">
        <f t="shared" si="1"/>
        <v>4.1205993267407676E-2</v>
      </c>
    </row>
    <row r="91" spans="2:8" x14ac:dyDescent="0.25">
      <c r="B91" s="77" t="s">
        <v>185</v>
      </c>
      <c r="C91" s="20">
        <f t="shared" si="0"/>
        <v>157.06074591415867</v>
      </c>
      <c r="D91" s="77">
        <f t="shared" si="1"/>
        <v>0.42273007241111293</v>
      </c>
    </row>
    <row r="92" spans="2:8" x14ac:dyDescent="0.25">
      <c r="B92" s="77" t="s">
        <v>176</v>
      </c>
      <c r="C92" s="20">
        <f t="shared" si="0"/>
        <v>157.06074591415867</v>
      </c>
      <c r="D92" s="77">
        <f t="shared" si="1"/>
        <v>0.42273007241111293</v>
      </c>
    </row>
    <row r="93" spans="2:8" x14ac:dyDescent="0.25">
      <c r="B93" s="94" t="s">
        <v>28</v>
      </c>
      <c r="C93" s="96">
        <f>AVERAGE(C80:C92)</f>
        <v>152.60241328225692</v>
      </c>
      <c r="D93" s="101">
        <f>AVERAGE(D80:D92)</f>
        <v>0.39866349949936264</v>
      </c>
    </row>
    <row r="94" spans="2:8" x14ac:dyDescent="0.25">
      <c r="B94" s="94" t="s">
        <v>186</v>
      </c>
      <c r="C94" s="20">
        <f>VAR(C80:C92)</f>
        <v>2695.5369072910689</v>
      </c>
      <c r="D94" s="77">
        <f>VAR(D80:D92)</f>
        <v>7.8546863789963672E-2</v>
      </c>
    </row>
    <row r="95" spans="2:8" x14ac:dyDescent="0.25">
      <c r="B95" s="94" t="s">
        <v>92</v>
      </c>
      <c r="C95" s="77">
        <f>D95</f>
        <v>0.81808737213241089</v>
      </c>
      <c r="D95" s="77">
        <f>D$93*(D$93*(1-D$93)/D$94-1)</f>
        <v>0.81808737213241089</v>
      </c>
    </row>
    <row r="96" spans="2:8" x14ac:dyDescent="0.25">
      <c r="B96" s="94" t="s">
        <v>93</v>
      </c>
      <c r="C96" s="77">
        <f>D96</f>
        <v>1.2339875561210065</v>
      </c>
      <c r="D96" s="77">
        <f>(1-D$93)*(D$93*(1-D$93)/D$94-1)</f>
        <v>1.2339875561210065</v>
      </c>
    </row>
    <row r="97" spans="2:4" x14ac:dyDescent="0.25">
      <c r="B97" s="94" t="s">
        <v>177</v>
      </c>
      <c r="C97" s="97">
        <f>SKEW(C80:C92)</f>
        <v>0.32987385943098918</v>
      </c>
      <c r="D97" s="97">
        <f>SKEW(D80:D92)</f>
        <v>0.32987385943098874</v>
      </c>
    </row>
    <row r="98" spans="2:4" x14ac:dyDescent="0.25">
      <c r="B98" s="94" t="s">
        <v>18</v>
      </c>
      <c r="C98" s="96">
        <f>H85</f>
        <v>110</v>
      </c>
    </row>
    <row r="99" spans="2:4" x14ac:dyDescent="0.25">
      <c r="B99" s="94" t="s">
        <v>20</v>
      </c>
      <c r="C99" s="96">
        <f>H84</f>
        <v>190</v>
      </c>
    </row>
    <row r="101" spans="2:4" x14ac:dyDescent="0.25">
      <c r="B101" s="102"/>
    </row>
    <row r="102" spans="2:4" x14ac:dyDescent="0.25">
      <c r="B102" s="185" t="s">
        <v>304</v>
      </c>
      <c r="C102" s="95" t="s">
        <v>187</v>
      </c>
    </row>
    <row r="103" spans="2:4" x14ac:dyDescent="0.25">
      <c r="B103" s="77" t="s">
        <v>164</v>
      </c>
      <c r="C103" s="77">
        <f>C59/0.75*0.25</f>
        <v>65.5</v>
      </c>
    </row>
    <row r="104" spans="2:4" x14ac:dyDescent="0.25">
      <c r="B104" s="77" t="s">
        <v>165</v>
      </c>
      <c r="C104" s="77">
        <f>C60/0.75*0.25</f>
        <v>29</v>
      </c>
    </row>
    <row r="105" spans="2:4" x14ac:dyDescent="0.25">
      <c r="B105" s="77" t="s">
        <v>166</v>
      </c>
      <c r="C105" s="77">
        <f t="shared" ref="C105:C107" si="2">C61/0.75*0.25</f>
        <v>36.5</v>
      </c>
    </row>
    <row r="106" spans="2:4" x14ac:dyDescent="0.25">
      <c r="B106" s="77" t="s">
        <v>167</v>
      </c>
      <c r="C106" s="77">
        <f t="shared" si="2"/>
        <v>26.25</v>
      </c>
    </row>
    <row r="107" spans="2:4" x14ac:dyDescent="0.25">
      <c r="B107" s="77" t="s">
        <v>168</v>
      </c>
      <c r="C107" s="77">
        <f t="shared" si="2"/>
        <v>88</v>
      </c>
    </row>
    <row r="108" spans="2:4" x14ac:dyDescent="0.25">
      <c r="B108" s="77" t="s">
        <v>174</v>
      </c>
      <c r="C108" s="20">
        <f>C49</f>
        <v>31.412149182831733</v>
      </c>
    </row>
    <row r="109" spans="2:4" x14ac:dyDescent="0.25">
      <c r="B109" s="77" t="s">
        <v>175</v>
      </c>
      <c r="C109" s="20">
        <f>D49</f>
        <v>78.530372957079337</v>
      </c>
    </row>
    <row r="110" spans="2:4" x14ac:dyDescent="0.25">
      <c r="B110" s="77" t="s">
        <v>176</v>
      </c>
      <c r="C110" s="20">
        <f>C55</f>
        <v>54.971261069955531</v>
      </c>
    </row>
    <row r="111" spans="2:4" x14ac:dyDescent="0.25">
      <c r="B111" s="94" t="s">
        <v>28</v>
      </c>
      <c r="C111" s="96">
        <f>AVERAGE(C103:C110)</f>
        <v>51.270472901233326</v>
      </c>
    </row>
    <row r="112" spans="2:4" x14ac:dyDescent="0.25">
      <c r="B112" s="94" t="s">
        <v>186</v>
      </c>
      <c r="C112" s="77">
        <f>VAR(C103:C110)</f>
        <v>577.55050065069315</v>
      </c>
    </row>
    <row r="113" spans="2:8" x14ac:dyDescent="0.25">
      <c r="B113" s="94" t="s">
        <v>177</v>
      </c>
      <c r="C113" s="97">
        <f>SKEW(C103:C110)</f>
        <v>0.47998880268041583</v>
      </c>
    </row>
    <row r="114" spans="2:8" x14ac:dyDescent="0.25">
      <c r="B114" s="94" t="s">
        <v>18</v>
      </c>
      <c r="C114" s="96">
        <f>ROUNDDOWN(PERCENTILE(C103:C110,0.25),-1)</f>
        <v>30</v>
      </c>
    </row>
    <row r="115" spans="2:8" x14ac:dyDescent="0.25">
      <c r="B115" s="94" t="s">
        <v>47</v>
      </c>
      <c r="C115" s="96">
        <f>ROUNDDOWN(PERCENTILE(C103:C110,0.75),-1)</f>
        <v>60</v>
      </c>
    </row>
    <row r="118" spans="2:8" x14ac:dyDescent="0.25">
      <c r="B118" s="102"/>
    </row>
    <row r="119" spans="2:8" x14ac:dyDescent="0.25">
      <c r="B119" s="185" t="s">
        <v>305</v>
      </c>
      <c r="C119" s="95" t="s">
        <v>187</v>
      </c>
      <c r="D119" s="95" t="s">
        <v>179</v>
      </c>
      <c r="F119" s="78" t="s">
        <v>97</v>
      </c>
    </row>
    <row r="120" spans="2:8" x14ac:dyDescent="0.25">
      <c r="B120" s="77" t="s">
        <v>164</v>
      </c>
      <c r="C120" s="16">
        <f>C103</f>
        <v>65.5</v>
      </c>
      <c r="D120" s="77">
        <f>(C120-C$123)/(C$124-C$123)</f>
        <v>0.63562753036437247</v>
      </c>
      <c r="F120" s="86" t="s">
        <v>45</v>
      </c>
      <c r="G120" s="86">
        <f>MIN(C120:C127)</f>
        <v>26.25</v>
      </c>
      <c r="H120" s="86"/>
    </row>
    <row r="121" spans="2:8" x14ac:dyDescent="0.25">
      <c r="B121" s="77" t="s">
        <v>165</v>
      </c>
      <c r="C121" s="16">
        <f t="shared" ref="C121:C127" si="3">C104</f>
        <v>29</v>
      </c>
      <c r="D121" s="77">
        <f t="shared" ref="D121:D127" si="4">(C121-C$123)/(C$124-C$123)</f>
        <v>4.4534412955465584E-2</v>
      </c>
      <c r="F121" s="86" t="s">
        <v>47</v>
      </c>
      <c r="G121" s="86">
        <f>MAX(C120:C127)</f>
        <v>88</v>
      </c>
      <c r="H121" s="86"/>
    </row>
    <row r="122" spans="2:8" x14ac:dyDescent="0.25">
      <c r="B122" s="77" t="s">
        <v>166</v>
      </c>
      <c r="C122" s="16">
        <f t="shared" si="3"/>
        <v>36.5</v>
      </c>
      <c r="D122" s="77">
        <f t="shared" si="4"/>
        <v>0.16599190283400811</v>
      </c>
      <c r="F122" s="86" t="s">
        <v>181</v>
      </c>
      <c r="G122" s="98">
        <f>C128</f>
        <v>51.270472901233326</v>
      </c>
      <c r="H122" s="86"/>
    </row>
    <row r="123" spans="2:8" x14ac:dyDescent="0.25">
      <c r="B123" s="77" t="s">
        <v>167</v>
      </c>
      <c r="C123" s="16">
        <f t="shared" si="3"/>
        <v>26.25</v>
      </c>
      <c r="D123" s="77">
        <f t="shared" si="4"/>
        <v>0</v>
      </c>
      <c r="F123" s="86" t="s">
        <v>182</v>
      </c>
      <c r="G123" s="98">
        <f>(1/(1+G127/G126))*(G121-G120)+G120</f>
        <v>51.270472901233333</v>
      </c>
      <c r="H123" s="98"/>
    </row>
    <row r="124" spans="2:8" x14ac:dyDescent="0.25">
      <c r="B124" s="77" t="s">
        <v>168</v>
      </c>
      <c r="C124" s="16">
        <f t="shared" si="3"/>
        <v>88</v>
      </c>
      <c r="D124" s="77">
        <f t="shared" si="4"/>
        <v>1</v>
      </c>
      <c r="F124" s="86" t="s">
        <v>302</v>
      </c>
      <c r="G124" s="98">
        <f>_xlfn.BETA.INV(0.75,G126,G127,G120,G121)</f>
        <v>77.329506962305601</v>
      </c>
      <c r="H124" s="99">
        <f>MROUND(G124,10)</f>
        <v>80</v>
      </c>
    </row>
    <row r="125" spans="2:8" x14ac:dyDescent="0.25">
      <c r="B125" s="77" t="s">
        <v>174</v>
      </c>
      <c r="C125" s="16">
        <f t="shared" si="3"/>
        <v>31.412149182831733</v>
      </c>
      <c r="D125" s="77">
        <f t="shared" si="4"/>
        <v>8.3597557616708229E-2</v>
      </c>
      <c r="F125" s="86" t="s">
        <v>301</v>
      </c>
      <c r="G125" s="98">
        <f>_xlfn.BETA.INV(0.25,G126,G127,G120,G121)</f>
        <v>27.34189274888973</v>
      </c>
      <c r="H125" s="99">
        <f>MROUND(G125,10)</f>
        <v>30</v>
      </c>
    </row>
    <row r="126" spans="2:8" x14ac:dyDescent="0.25">
      <c r="B126" s="77" t="s">
        <v>175</v>
      </c>
      <c r="C126" s="16">
        <f t="shared" si="3"/>
        <v>78.530372957079337</v>
      </c>
      <c r="D126" s="77">
        <f t="shared" si="4"/>
        <v>0.84664571590411886</v>
      </c>
      <c r="F126" s="86" t="s">
        <v>92</v>
      </c>
      <c r="G126" s="100">
        <f>D130</f>
        <v>0.23954246979869293</v>
      </c>
      <c r="H126" s="100"/>
    </row>
    <row r="127" spans="2:8" x14ac:dyDescent="0.25">
      <c r="B127" s="77" t="s">
        <v>176</v>
      </c>
      <c r="C127" s="16">
        <f t="shared" si="3"/>
        <v>54.971261069955531</v>
      </c>
      <c r="D127" s="77">
        <f t="shared" si="4"/>
        <v>0.46512163676041346</v>
      </c>
      <c r="F127" s="86" t="s">
        <v>93</v>
      </c>
      <c r="G127" s="100">
        <f>D131</f>
        <v>0.35164329908979847</v>
      </c>
      <c r="H127" s="100"/>
    </row>
    <row r="128" spans="2:8" x14ac:dyDescent="0.25">
      <c r="B128" s="94" t="s">
        <v>28</v>
      </c>
      <c r="C128" s="96">
        <f>AVERAGE(C120:C127)</f>
        <v>51.270472901233326</v>
      </c>
      <c r="D128" s="101">
        <f>AVERAGE(D120:D127)</f>
        <v>0.40518984455438589</v>
      </c>
      <c r="F128" s="86" t="s">
        <v>183</v>
      </c>
      <c r="G128" s="103">
        <f>(G123-G122)^2</f>
        <v>5.0487097934144756E-29</v>
      </c>
      <c r="H128" s="98"/>
    </row>
    <row r="129" spans="2:4" x14ac:dyDescent="0.25">
      <c r="B129" s="94" t="s">
        <v>186</v>
      </c>
      <c r="C129" s="77">
        <f>VAR(C120:C127)</f>
        <v>577.55050065069315</v>
      </c>
      <c r="D129" s="77">
        <f>VAR(D120:D127)</f>
        <v>0.15146630842025102</v>
      </c>
    </row>
    <row r="130" spans="2:4" x14ac:dyDescent="0.25">
      <c r="B130" s="94" t="s">
        <v>92</v>
      </c>
      <c r="C130" s="77">
        <f>D130</f>
        <v>0.23954246979869293</v>
      </c>
      <c r="D130" s="77">
        <f>D128*(D128*(1-D128)/D129-1)</f>
        <v>0.23954246979869293</v>
      </c>
    </row>
    <row r="131" spans="2:4" x14ac:dyDescent="0.25">
      <c r="B131" s="94" t="s">
        <v>93</v>
      </c>
      <c r="C131" s="77">
        <f>D131</f>
        <v>0.35164329908979847</v>
      </c>
      <c r="D131" s="77">
        <f>(1-D128)*(D128*(1-D128)/D129-1)</f>
        <v>0.35164329908979847</v>
      </c>
    </row>
    <row r="132" spans="2:4" x14ac:dyDescent="0.25">
      <c r="B132" s="94" t="s">
        <v>177</v>
      </c>
      <c r="C132" s="97">
        <f>SKEW(C120:C127)</f>
        <v>0.47998880268041583</v>
      </c>
      <c r="D132" s="97">
        <f>SKEW(D98:D127)</f>
        <v>0.47998880268041616</v>
      </c>
    </row>
    <row r="133" spans="2:4" x14ac:dyDescent="0.25">
      <c r="B133" s="94" t="s">
        <v>18</v>
      </c>
      <c r="C133" s="96">
        <f>H125</f>
        <v>30</v>
      </c>
    </row>
    <row r="134" spans="2:4" x14ac:dyDescent="0.25">
      <c r="B134" s="94" t="s">
        <v>20</v>
      </c>
      <c r="C134" s="96">
        <f>H124</f>
        <v>80</v>
      </c>
    </row>
    <row r="137" spans="2:4" x14ac:dyDescent="0.25">
      <c r="B137" s="94" t="s">
        <v>110</v>
      </c>
    </row>
    <row r="138" spans="2:4" x14ac:dyDescent="0.25">
      <c r="B138" s="77" t="s">
        <v>188</v>
      </c>
      <c r="C138" s="94">
        <f>MROUND(0.7*129,10)</f>
        <v>90</v>
      </c>
      <c r="D138" s="77" t="s">
        <v>189</v>
      </c>
    </row>
    <row r="139" spans="2:4" x14ac:dyDescent="0.25">
      <c r="B139" s="77" t="s">
        <v>190</v>
      </c>
      <c r="C139" s="94">
        <f>MROUND(0.7*155.9,10)</f>
        <v>110</v>
      </c>
    </row>
    <row r="140" spans="2:4" x14ac:dyDescent="0.25">
      <c r="B140" s="94"/>
      <c r="C140" s="96"/>
    </row>
    <row r="141" spans="2:4" x14ac:dyDescent="0.25">
      <c r="B141" s="94"/>
      <c r="C141" s="97"/>
    </row>
    <row r="142" spans="2:4" x14ac:dyDescent="0.25">
      <c r="B142" s="94"/>
      <c r="C142" s="96"/>
    </row>
    <row r="143" spans="2:4" x14ac:dyDescent="0.25">
      <c r="B143" s="94"/>
      <c r="C143" s="96"/>
    </row>
    <row r="144" spans="2:4" x14ac:dyDescent="0.25">
      <c r="B144" s="94"/>
    </row>
    <row r="145" spans="2:4" ht="15.75" x14ac:dyDescent="0.25">
      <c r="B145" s="186" t="s">
        <v>306</v>
      </c>
    </row>
    <row r="146" spans="2:4" x14ac:dyDescent="0.25">
      <c r="B146" s="77" t="s">
        <v>164</v>
      </c>
      <c r="C146" s="77">
        <f>C59+C103</f>
        <v>262</v>
      </c>
    </row>
    <row r="147" spans="2:4" x14ac:dyDescent="0.25">
      <c r="B147" s="77" t="s">
        <v>165</v>
      </c>
      <c r="C147" s="77">
        <f t="shared" ref="C147:C150" si="5">C60+C104</f>
        <v>116</v>
      </c>
    </row>
    <row r="148" spans="2:4" x14ac:dyDescent="0.25">
      <c r="B148" s="77" t="s">
        <v>166</v>
      </c>
      <c r="C148" s="77">
        <f t="shared" si="5"/>
        <v>146</v>
      </c>
    </row>
    <row r="149" spans="2:4" x14ac:dyDescent="0.25">
      <c r="B149" s="77" t="s">
        <v>167</v>
      </c>
      <c r="C149" s="77">
        <f t="shared" si="5"/>
        <v>105</v>
      </c>
    </row>
    <row r="150" spans="2:4" x14ac:dyDescent="0.25">
      <c r="B150" s="77" t="s">
        <v>168</v>
      </c>
      <c r="C150" s="77">
        <f t="shared" si="5"/>
        <v>352</v>
      </c>
    </row>
    <row r="151" spans="2:4" x14ac:dyDescent="0.25">
      <c r="B151" s="77" t="s">
        <v>169</v>
      </c>
      <c r="C151" s="77">
        <f>C64/0.75</f>
        <v>217.72549019607845</v>
      </c>
    </row>
    <row r="152" spans="2:4" x14ac:dyDescent="0.25">
      <c r="B152" s="77" t="s">
        <v>170</v>
      </c>
      <c r="C152" s="77">
        <f t="shared" ref="C152:C155" si="6">C65/0.75</f>
        <v>211.24705882352941</v>
      </c>
    </row>
    <row r="153" spans="2:4" x14ac:dyDescent="0.25">
      <c r="B153" s="77" t="s">
        <v>171</v>
      </c>
      <c r="C153" s="77">
        <f t="shared" si="6"/>
        <v>251.81176470588238</v>
      </c>
      <c r="D153" s="20"/>
    </row>
    <row r="154" spans="2:4" x14ac:dyDescent="0.25">
      <c r="B154" s="77" t="s">
        <v>172</v>
      </c>
      <c r="C154" s="77">
        <f t="shared" si="6"/>
        <v>223.43529411764709</v>
      </c>
    </row>
    <row r="155" spans="2:4" x14ac:dyDescent="0.25">
      <c r="B155" s="77" t="s">
        <v>173</v>
      </c>
      <c r="C155" s="77">
        <f t="shared" si="6"/>
        <v>225.88235294117646</v>
      </c>
    </row>
    <row r="156" spans="2:4" x14ac:dyDescent="0.25">
      <c r="B156" s="77" t="s">
        <v>174</v>
      </c>
      <c r="C156" s="20">
        <f>C69+C108</f>
        <v>117.795559435619</v>
      </c>
    </row>
    <row r="157" spans="2:4" x14ac:dyDescent="0.25">
      <c r="B157" s="77" t="s">
        <v>175</v>
      </c>
      <c r="C157" s="20">
        <f>C70+C109</f>
        <v>235.591118871238</v>
      </c>
    </row>
    <row r="158" spans="2:4" x14ac:dyDescent="0.25">
      <c r="B158" s="77" t="s">
        <v>176</v>
      </c>
      <c r="C158" s="20">
        <f>C71+C110</f>
        <v>212.03200698411422</v>
      </c>
    </row>
    <row r="159" spans="2:4" x14ac:dyDescent="0.25">
      <c r="B159" s="94" t="s">
        <v>28</v>
      </c>
      <c r="C159" s="96">
        <f>AVERAGE(C146:C158)</f>
        <v>205.88620354425268</v>
      </c>
    </row>
    <row r="160" spans="2:4" x14ac:dyDescent="0.25">
      <c r="B160" s="94" t="s">
        <v>186</v>
      </c>
      <c r="C160" s="77">
        <f>VAR(C146:C158)</f>
        <v>4833.9923654916347</v>
      </c>
    </row>
    <row r="161" spans="2:8" x14ac:dyDescent="0.25">
      <c r="B161" s="94" t="s">
        <v>177</v>
      </c>
      <c r="C161" s="97">
        <f>SKEW(C146:C158)</f>
        <v>0.22950449671263648</v>
      </c>
    </row>
    <row r="162" spans="2:8" x14ac:dyDescent="0.25">
      <c r="B162" s="94" t="s">
        <v>18</v>
      </c>
      <c r="C162" s="96">
        <f>ROUNDDOWN(PERCENTILE(C146:C158,0.25),-1)</f>
        <v>140</v>
      </c>
      <c r="D162" s="20"/>
    </row>
    <row r="163" spans="2:8" x14ac:dyDescent="0.25">
      <c r="B163" s="94" t="s">
        <v>47</v>
      </c>
      <c r="C163" s="96">
        <f>ROUNDDOWN(PERCENTILE(C146:C158,0.75),-1)</f>
        <v>230</v>
      </c>
      <c r="D163" s="20"/>
    </row>
    <row r="165" spans="2:8" ht="15.75" x14ac:dyDescent="0.25">
      <c r="B165" s="186" t="s">
        <v>308</v>
      </c>
    </row>
    <row r="166" spans="2:8" x14ac:dyDescent="0.25">
      <c r="B166" s="94" t="s">
        <v>18</v>
      </c>
      <c r="C166" s="96">
        <f>C138+C162</f>
        <v>230</v>
      </c>
    </row>
    <row r="167" spans="2:8" x14ac:dyDescent="0.25">
      <c r="B167" s="94" t="s">
        <v>47</v>
      </c>
      <c r="C167" s="96">
        <f>C139+C163</f>
        <v>340</v>
      </c>
    </row>
    <row r="170" spans="2:8" ht="15.75" x14ac:dyDescent="0.25">
      <c r="B170" s="186" t="s">
        <v>307</v>
      </c>
    </row>
    <row r="171" spans="2:8" x14ac:dyDescent="0.25">
      <c r="C171" s="95" t="s">
        <v>187</v>
      </c>
      <c r="D171" s="95" t="s">
        <v>179</v>
      </c>
      <c r="F171" s="78" t="s">
        <v>180</v>
      </c>
    </row>
    <row r="172" spans="2:8" x14ac:dyDescent="0.25">
      <c r="B172" s="77" t="s">
        <v>164</v>
      </c>
      <c r="C172" s="77">
        <f>C146</f>
        <v>262</v>
      </c>
      <c r="D172" s="77">
        <f>(C172-G$172)/(G$173-G$172)</f>
        <v>0.63562753036437247</v>
      </c>
      <c r="F172" s="86" t="s">
        <v>45</v>
      </c>
      <c r="G172" s="86">
        <f>MIN(C172:C184)</f>
        <v>105</v>
      </c>
      <c r="H172" s="86"/>
    </row>
    <row r="173" spans="2:8" x14ac:dyDescent="0.25">
      <c r="B173" s="77" t="s">
        <v>165</v>
      </c>
      <c r="C173" s="77">
        <f t="shared" ref="C173:C184" si="7">C147</f>
        <v>116</v>
      </c>
      <c r="D173" s="77">
        <f t="shared" ref="D173:D184" si="8">(C173-G$172)/(G$173-G$172)</f>
        <v>4.4534412955465584E-2</v>
      </c>
      <c r="F173" s="86" t="s">
        <v>47</v>
      </c>
      <c r="G173" s="86">
        <f>MAX(C172:C184)</f>
        <v>352</v>
      </c>
      <c r="H173" s="86"/>
    </row>
    <row r="174" spans="2:8" x14ac:dyDescent="0.25">
      <c r="B174" s="77" t="s">
        <v>166</v>
      </c>
      <c r="C174" s="77">
        <f t="shared" si="7"/>
        <v>146</v>
      </c>
      <c r="D174" s="77">
        <f t="shared" si="8"/>
        <v>0.16599190283400811</v>
      </c>
      <c r="F174" s="86" t="s">
        <v>181</v>
      </c>
      <c r="G174" s="98">
        <f>C185</f>
        <v>205.88620354425268</v>
      </c>
      <c r="H174" s="86"/>
    </row>
    <row r="175" spans="2:8" x14ac:dyDescent="0.25">
      <c r="B175" s="77" t="s">
        <v>167</v>
      </c>
      <c r="C175" s="77">
        <f t="shared" si="7"/>
        <v>105</v>
      </c>
      <c r="D175" s="77">
        <f t="shared" si="8"/>
        <v>0</v>
      </c>
      <c r="F175" s="86" t="s">
        <v>182</v>
      </c>
      <c r="G175" s="98">
        <f>(1/(1+G179/G178))*(G173-G172)+G172</f>
        <v>205.88620354425268</v>
      </c>
      <c r="H175" s="98"/>
    </row>
    <row r="176" spans="2:8" x14ac:dyDescent="0.25">
      <c r="B176" s="77" t="s">
        <v>168</v>
      </c>
      <c r="C176" s="77">
        <f t="shared" si="7"/>
        <v>352</v>
      </c>
      <c r="D176" s="77">
        <f t="shared" si="8"/>
        <v>1</v>
      </c>
      <c r="F176" s="86" t="s">
        <v>302</v>
      </c>
      <c r="G176" s="98">
        <f>_xlfn.BETA.INV(0.75,G178,G179,G172,G173)</f>
        <v>262.02042423389025</v>
      </c>
      <c r="H176" s="99">
        <f>MROUND(G176,10)</f>
        <v>260</v>
      </c>
    </row>
    <row r="177" spans="2:8" x14ac:dyDescent="0.25">
      <c r="B177" s="77" t="s">
        <v>169</v>
      </c>
      <c r="C177" s="77">
        <f t="shared" si="7"/>
        <v>217.72549019607845</v>
      </c>
      <c r="D177" s="77">
        <f t="shared" si="8"/>
        <v>0.45637850281813142</v>
      </c>
      <c r="F177" s="86" t="s">
        <v>301</v>
      </c>
      <c r="G177" s="86">
        <f>_xlfn.BETA.INV(0.25,G178,G179,G172,G173)</f>
        <v>144.20690837935078</v>
      </c>
      <c r="H177" s="99">
        <f>MROUND(G177,10)</f>
        <v>140</v>
      </c>
    </row>
    <row r="178" spans="2:8" x14ac:dyDescent="0.25">
      <c r="B178" s="77" t="s">
        <v>170</v>
      </c>
      <c r="C178" s="77">
        <f t="shared" si="7"/>
        <v>211.24705882352941</v>
      </c>
      <c r="D178" s="77">
        <f t="shared" si="8"/>
        <v>0.43015003572279115</v>
      </c>
      <c r="F178" s="86" t="s">
        <v>92</v>
      </c>
      <c r="G178" s="100">
        <f>D187</f>
        <v>0.83707717236220902</v>
      </c>
      <c r="H178" s="100"/>
    </row>
    <row r="179" spans="2:8" x14ac:dyDescent="0.25">
      <c r="B179" s="77" t="s">
        <v>171</v>
      </c>
      <c r="C179" s="77">
        <f t="shared" si="7"/>
        <v>251.81176470588238</v>
      </c>
      <c r="D179" s="77">
        <f t="shared" si="8"/>
        <v>0.59437961419385577</v>
      </c>
      <c r="F179" s="86" t="s">
        <v>93</v>
      </c>
      <c r="G179" s="100">
        <f>D188</f>
        <v>1.2123414231425107</v>
      </c>
      <c r="H179" s="100"/>
    </row>
    <row r="180" spans="2:8" x14ac:dyDescent="0.25">
      <c r="B180" s="77" t="s">
        <v>172</v>
      </c>
      <c r="C180" s="77">
        <f t="shared" si="7"/>
        <v>223.43529411764709</v>
      </c>
      <c r="D180" s="77">
        <f t="shared" si="8"/>
        <v>0.47949511788521088</v>
      </c>
      <c r="F180" s="86" t="s">
        <v>183</v>
      </c>
      <c r="G180" s="98">
        <f>(G175-G174)^2</f>
        <v>0</v>
      </c>
      <c r="H180" s="98"/>
    </row>
    <row r="181" spans="2:8" x14ac:dyDescent="0.25">
      <c r="B181" s="77" t="s">
        <v>173</v>
      </c>
      <c r="C181" s="77">
        <f t="shared" si="7"/>
        <v>225.88235294117646</v>
      </c>
      <c r="D181" s="77">
        <f t="shared" si="8"/>
        <v>0.48940223862824478</v>
      </c>
    </row>
    <row r="182" spans="2:8" x14ac:dyDescent="0.25">
      <c r="B182" s="77" t="s">
        <v>174</v>
      </c>
      <c r="C182" s="77">
        <f t="shared" si="7"/>
        <v>117.795559435619</v>
      </c>
      <c r="D182" s="77">
        <f t="shared" si="8"/>
        <v>5.1803884354732786E-2</v>
      </c>
    </row>
    <row r="183" spans="2:8" x14ac:dyDescent="0.25">
      <c r="B183" s="77" t="s">
        <v>175</v>
      </c>
      <c r="C183" s="77">
        <f t="shared" si="7"/>
        <v>235.591118871238</v>
      </c>
      <c r="D183" s="77">
        <f t="shared" si="8"/>
        <v>0.52870898328436433</v>
      </c>
    </row>
    <row r="184" spans="2:8" x14ac:dyDescent="0.25">
      <c r="B184" s="77" t="s">
        <v>176</v>
      </c>
      <c r="C184" s="77">
        <f t="shared" si="7"/>
        <v>212.03200698411422</v>
      </c>
      <c r="D184" s="77">
        <f t="shared" si="8"/>
        <v>0.43332796349843811</v>
      </c>
    </row>
    <row r="185" spans="2:8" x14ac:dyDescent="0.25">
      <c r="B185" s="94" t="s">
        <v>28</v>
      </c>
      <c r="C185" s="96">
        <f>AVERAGE(C172:C184)</f>
        <v>205.88620354425268</v>
      </c>
      <c r="D185" s="101">
        <f>AVERAGE(D172:D184)</f>
        <v>0.40844616819535501</v>
      </c>
    </row>
    <row r="186" spans="2:8" x14ac:dyDescent="0.25">
      <c r="B186" s="94" t="s">
        <v>186</v>
      </c>
      <c r="C186" s="77">
        <f>VAR(C172:C184)</f>
        <v>4833.9923654916347</v>
      </c>
      <c r="D186" s="77">
        <f>VAR(D172:D184)</f>
        <v>7.9234086208454999E-2</v>
      </c>
    </row>
    <row r="187" spans="2:8" x14ac:dyDescent="0.25">
      <c r="B187" s="94" t="s">
        <v>92</v>
      </c>
      <c r="C187" s="77">
        <f>D187</f>
        <v>0.83707717236220902</v>
      </c>
      <c r="D187" s="77">
        <f>D185*(D185*(1-D185)/D186-1)</f>
        <v>0.83707717236220902</v>
      </c>
    </row>
    <row r="188" spans="2:8" x14ac:dyDescent="0.25">
      <c r="B188" s="94" t="s">
        <v>93</v>
      </c>
      <c r="C188" s="77">
        <f>D188</f>
        <v>1.2123414231425107</v>
      </c>
      <c r="D188" s="77">
        <f>(1-D185)*(D185*(1-D185)/D186-1)</f>
        <v>1.2123414231425107</v>
      </c>
    </row>
    <row r="189" spans="2:8" x14ac:dyDescent="0.25">
      <c r="B189" s="94" t="s">
        <v>177</v>
      </c>
      <c r="C189" s="97">
        <f>SKEW(C172:C184)</f>
        <v>0.22950449671263648</v>
      </c>
      <c r="D189" s="97">
        <f>SKEW(D172:D184)</f>
        <v>0.22950449671263662</v>
      </c>
    </row>
    <row r="190" spans="2:8" x14ac:dyDescent="0.25">
      <c r="B190" s="94" t="s">
        <v>18</v>
      </c>
      <c r="C190" s="96">
        <f>H177</f>
        <v>140</v>
      </c>
    </row>
    <row r="191" spans="2:8" x14ac:dyDescent="0.25">
      <c r="B191" s="94" t="s">
        <v>20</v>
      </c>
      <c r="C191" s="96">
        <f>H176</f>
        <v>260</v>
      </c>
    </row>
    <row r="192" spans="2:8" x14ac:dyDescent="0.25">
      <c r="C192" s="96"/>
    </row>
    <row r="193" spans="2:4" ht="15.75" x14ac:dyDescent="0.25">
      <c r="B193" s="186" t="s">
        <v>309</v>
      </c>
    </row>
    <row r="194" spans="2:4" x14ac:dyDescent="0.25">
      <c r="B194" s="94" t="s">
        <v>18</v>
      </c>
      <c r="C194" s="96">
        <f>C190+C138</f>
        <v>230</v>
      </c>
    </row>
    <row r="195" spans="2:4" x14ac:dyDescent="0.25">
      <c r="B195" s="94" t="s">
        <v>47</v>
      </c>
      <c r="C195" s="96">
        <f>C191+C139</f>
        <v>370</v>
      </c>
    </row>
    <row r="197" spans="2:4" x14ac:dyDescent="0.25">
      <c r="B197" s="128" t="s">
        <v>287</v>
      </c>
      <c r="C197" s="129"/>
      <c r="D197" s="129"/>
    </row>
    <row r="198" spans="2:4" ht="15.75" x14ac:dyDescent="0.25">
      <c r="B198" s="187" t="s">
        <v>311</v>
      </c>
      <c r="C198" s="130"/>
      <c r="D198" s="130"/>
    </row>
    <row r="199" spans="2:4" x14ac:dyDescent="0.25">
      <c r="B199" s="104" t="s">
        <v>18</v>
      </c>
      <c r="C199" s="104" t="s">
        <v>20</v>
      </c>
      <c r="D199" s="104" t="s">
        <v>191</v>
      </c>
    </row>
    <row r="200" spans="2:4" x14ac:dyDescent="0.25">
      <c r="B200" s="105">
        <f>C75</f>
        <v>100</v>
      </c>
      <c r="C200" s="105">
        <f>C76</f>
        <v>160</v>
      </c>
      <c r="D200" s="106" t="s">
        <v>192</v>
      </c>
    </row>
    <row r="201" spans="2:4" x14ac:dyDescent="0.25">
      <c r="B201" s="105">
        <f>C114</f>
        <v>30</v>
      </c>
      <c r="C201" s="105">
        <f>C115</f>
        <v>60</v>
      </c>
      <c r="D201" s="106" t="s">
        <v>109</v>
      </c>
    </row>
    <row r="202" spans="2:4" x14ac:dyDescent="0.25">
      <c r="B202" s="52">
        <f>C138</f>
        <v>90</v>
      </c>
      <c r="C202" s="52">
        <f>C139</f>
        <v>110</v>
      </c>
      <c r="D202" s="106" t="s">
        <v>110</v>
      </c>
    </row>
    <row r="203" spans="2:4" x14ac:dyDescent="0.25">
      <c r="B203" s="105">
        <f>C166</f>
        <v>230</v>
      </c>
      <c r="C203" s="105">
        <f>C167</f>
        <v>340</v>
      </c>
      <c r="D203" s="106" t="s">
        <v>193</v>
      </c>
    </row>
    <row r="204" spans="2:4" x14ac:dyDescent="0.25">
      <c r="B204" s="105">
        <f>B200+B201+B202</f>
        <v>220</v>
      </c>
      <c r="C204" s="105">
        <f>C200+C201+C202</f>
        <v>330</v>
      </c>
      <c r="D204" s="106" t="s">
        <v>194</v>
      </c>
    </row>
    <row r="205" spans="2:4" x14ac:dyDescent="0.25">
      <c r="B205" s="20"/>
      <c r="C205" s="20"/>
    </row>
    <row r="206" spans="2:4" ht="15.75" x14ac:dyDescent="0.25">
      <c r="B206" s="186" t="s">
        <v>310</v>
      </c>
    </row>
    <row r="207" spans="2:4" x14ac:dyDescent="0.25">
      <c r="B207" s="104" t="s">
        <v>18</v>
      </c>
      <c r="C207" s="104" t="s">
        <v>20</v>
      </c>
      <c r="D207" s="104" t="s">
        <v>191</v>
      </c>
    </row>
    <row r="208" spans="2:4" x14ac:dyDescent="0.25">
      <c r="B208" s="105">
        <f>C98</f>
        <v>110</v>
      </c>
      <c r="C208" s="105">
        <f>C99</f>
        <v>190</v>
      </c>
      <c r="D208" s="106" t="s">
        <v>192</v>
      </c>
    </row>
    <row r="209" spans="2:4" x14ac:dyDescent="0.25">
      <c r="B209" s="105">
        <f>C133</f>
        <v>30</v>
      </c>
      <c r="C209" s="105">
        <f>C134</f>
        <v>80</v>
      </c>
      <c r="D209" s="106" t="s">
        <v>109</v>
      </c>
    </row>
    <row r="210" spans="2:4" x14ac:dyDescent="0.25">
      <c r="B210" s="52">
        <f>C138</f>
        <v>90</v>
      </c>
      <c r="C210" s="52">
        <f>C139</f>
        <v>110</v>
      </c>
      <c r="D210" s="106" t="s">
        <v>110</v>
      </c>
    </row>
    <row r="211" spans="2:4" x14ac:dyDescent="0.25">
      <c r="B211" s="105">
        <f>C194</f>
        <v>230</v>
      </c>
      <c r="C211" s="105">
        <f>C195</f>
        <v>370</v>
      </c>
      <c r="D211" s="106" t="s">
        <v>193</v>
      </c>
    </row>
    <row r="212" spans="2:4" x14ac:dyDescent="0.25">
      <c r="B212" s="105">
        <f>B208+B209+B210</f>
        <v>230</v>
      </c>
      <c r="C212" s="105">
        <f>C208+C209+C210</f>
        <v>380</v>
      </c>
      <c r="D212" s="106" t="s">
        <v>194</v>
      </c>
    </row>
    <row r="215" spans="2:4" ht="15.75" x14ac:dyDescent="0.25">
      <c r="B215" s="186" t="s">
        <v>195</v>
      </c>
    </row>
    <row r="216" spans="2:4" x14ac:dyDescent="0.25">
      <c r="B216" s="104" t="s">
        <v>18</v>
      </c>
      <c r="C216" s="104" t="s">
        <v>20</v>
      </c>
      <c r="D216" s="104" t="s">
        <v>191</v>
      </c>
    </row>
    <row r="217" spans="2:4" ht="18.75" x14ac:dyDescent="0.3">
      <c r="B217" s="184">
        <f>MIN(B203,B204,B211,B212)</f>
        <v>220</v>
      </c>
      <c r="C217" s="184">
        <f>MIN(C203,C204,C211,C212)</f>
        <v>330</v>
      </c>
      <c r="D217" s="106" t="s">
        <v>196</v>
      </c>
    </row>
    <row r="218" spans="2:4" x14ac:dyDescent="0.25">
      <c r="B218" s="109" t="s">
        <v>198</v>
      </c>
      <c r="C218" s="105"/>
      <c r="D218" s="105"/>
    </row>
    <row r="219" spans="2:4" ht="18.75" x14ac:dyDescent="0.3">
      <c r="B219" s="184">
        <f>B200/B$204*B$217</f>
        <v>100</v>
      </c>
      <c r="C219" s="184">
        <f>C200/C$204*C$217</f>
        <v>160</v>
      </c>
      <c r="D219" s="108" t="s">
        <v>192</v>
      </c>
    </row>
    <row r="220" spans="2:4" ht="18.75" x14ac:dyDescent="0.3">
      <c r="B220" s="184">
        <f>B201/B$204*B$217</f>
        <v>29.999999999999996</v>
      </c>
      <c r="C220" s="184">
        <f>ROUND(C201/C$204*C$217,0)</f>
        <v>60</v>
      </c>
      <c r="D220" s="108" t="s">
        <v>109</v>
      </c>
    </row>
    <row r="221" spans="2:4" ht="18.75" x14ac:dyDescent="0.3">
      <c r="B221" s="184">
        <f>B202/B$204*B$217</f>
        <v>90</v>
      </c>
      <c r="C221" s="184">
        <f>ROUND(C202/C$204*C$217,0)</f>
        <v>110</v>
      </c>
      <c r="D221" s="108" t="s">
        <v>110</v>
      </c>
    </row>
    <row r="222" spans="2:4" x14ac:dyDescent="0.25">
      <c r="C222" s="20"/>
    </row>
  </sheetData>
  <hyperlinks>
    <hyperlink ref="F1" location="Contents!A1" display="Back to the Contents of this spreadsheet"/>
  </hyperlinks>
  <pageMargins left="0.7" right="0.7" top="0.75" bottom="0.7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R92"/>
  <sheetViews>
    <sheetView workbookViewId="0">
      <selection activeCell="F1" sqref="F1"/>
    </sheetView>
  </sheetViews>
  <sheetFormatPr defaultRowHeight="15" x14ac:dyDescent="0.25"/>
  <cols>
    <col min="1" max="1" width="21.7109375" customWidth="1"/>
    <col min="2" max="2" width="24.42578125" customWidth="1"/>
    <col min="3" max="3" width="18.7109375" customWidth="1"/>
    <col min="15" max="15" width="9.42578125" customWidth="1"/>
    <col min="16" max="16" width="21.140625" customWidth="1"/>
  </cols>
  <sheetData>
    <row r="1" spans="1:18" x14ac:dyDescent="0.25">
      <c r="F1" s="223" t="s">
        <v>389</v>
      </c>
    </row>
    <row r="2" spans="1:18" ht="31.5" x14ac:dyDescent="0.5">
      <c r="A2" s="183" t="s">
        <v>300</v>
      </c>
    </row>
    <row r="6" spans="1:18" s="77" customFormat="1" x14ac:dyDescent="0.25"/>
    <row r="7" spans="1:18" s="77" customFormat="1" x14ac:dyDescent="0.25"/>
    <row r="9" spans="1:18" x14ac:dyDescent="0.25">
      <c r="A9" s="125" t="s">
        <v>266</v>
      </c>
      <c r="B9" s="126"/>
      <c r="G9" s="114"/>
      <c r="H9" s="114"/>
    </row>
    <row r="10" spans="1:18" ht="30" x14ac:dyDescent="0.25">
      <c r="A10" s="131" t="s">
        <v>267</v>
      </c>
      <c r="B10" s="132" t="s">
        <v>268</v>
      </c>
      <c r="C10" s="133" t="s">
        <v>288</v>
      </c>
      <c r="G10" s="148" t="s">
        <v>291</v>
      </c>
      <c r="H10" s="149" t="s">
        <v>292</v>
      </c>
      <c r="P10" s="165" t="s">
        <v>180</v>
      </c>
      <c r="Q10" s="161" t="s">
        <v>261</v>
      </c>
      <c r="R10" s="161" t="s">
        <v>260</v>
      </c>
    </row>
    <row r="11" spans="1:18" x14ac:dyDescent="0.25">
      <c r="A11" s="86" t="s">
        <v>176</v>
      </c>
      <c r="B11" s="142">
        <v>2.8</v>
      </c>
      <c r="C11" s="146">
        <f>B11*1000*discount_rate_LRMC/((1+discount_rate_LRMC)^0.5-(1/(1+discount_rate_LRMC))^50.5)</f>
        <v>219.88504427982213</v>
      </c>
      <c r="G11" s="142">
        <f>(B11-Q$11)/(Q$12-Q$11)</f>
        <v>0.25925925925925919</v>
      </c>
      <c r="H11" s="144">
        <f>(C11-R$11)/(R$12-R$11)</f>
        <v>0.25925925925925924</v>
      </c>
      <c r="P11" s="161" t="s">
        <v>45</v>
      </c>
      <c r="Q11" s="161">
        <f>MIN(B11:B22)</f>
        <v>2.1</v>
      </c>
      <c r="R11" s="161">
        <f>MIN(C11:C22)</f>
        <v>164.91378320986661</v>
      </c>
    </row>
    <row r="12" spans="1:18" x14ac:dyDescent="0.25">
      <c r="A12" s="86" t="s">
        <v>269</v>
      </c>
      <c r="B12" s="142">
        <v>3.7</v>
      </c>
      <c r="C12" s="146">
        <f t="shared" ref="C12:C22" si="0">B12*1000*discount_rate_LRMC/((1+discount_rate_LRMC)^0.5-(1/(1+discount_rate_LRMC))^50.5)</f>
        <v>290.56237994119351</v>
      </c>
      <c r="G12" s="142">
        <f t="shared" ref="G12:G22" si="1">(B12-Q$11)/(Q$12-Q$11)</f>
        <v>0.59259259259259267</v>
      </c>
      <c r="H12" s="144">
        <f t="shared" ref="H12:H22" si="2">(C12-R$11)/(R$12-R$11)</f>
        <v>0.59259259259259256</v>
      </c>
      <c r="P12" s="161" t="s">
        <v>47</v>
      </c>
      <c r="Q12" s="161">
        <f>MAX(B11:B22)</f>
        <v>4.8</v>
      </c>
      <c r="R12" s="161">
        <f>MAX(C11:C22)</f>
        <v>376.94579019398077</v>
      </c>
    </row>
    <row r="13" spans="1:18" x14ac:dyDescent="0.25">
      <c r="A13" s="86" t="s">
        <v>128</v>
      </c>
      <c r="B13" s="142">
        <v>2.7</v>
      </c>
      <c r="C13" s="146">
        <f t="shared" si="0"/>
        <v>212.03200698411419</v>
      </c>
      <c r="G13" s="142">
        <f t="shared" si="1"/>
        <v>0.22222222222222227</v>
      </c>
      <c r="H13" s="144">
        <f t="shared" si="2"/>
        <v>0.22222222222222218</v>
      </c>
      <c r="P13" s="161" t="s">
        <v>181</v>
      </c>
      <c r="Q13" s="162">
        <f>AVERAGE(B11:B22)</f>
        <v>3.0166666666666662</v>
      </c>
      <c r="R13" s="163">
        <f>AVERAGE(C11:C22)</f>
        <v>236.89995842052267</v>
      </c>
    </row>
    <row r="14" spans="1:18" x14ac:dyDescent="0.25">
      <c r="A14" s="86" t="s">
        <v>270</v>
      </c>
      <c r="B14" s="142">
        <v>3.3</v>
      </c>
      <c r="C14" s="146">
        <f t="shared" si="0"/>
        <v>259.15023075836177</v>
      </c>
      <c r="G14" s="142">
        <f t="shared" si="1"/>
        <v>0.44444444444444436</v>
      </c>
      <c r="H14" s="144">
        <f t="shared" si="2"/>
        <v>0.44444444444444436</v>
      </c>
      <c r="P14" s="161" t="s">
        <v>182</v>
      </c>
      <c r="Q14" s="161">
        <f>(1/(1+Q18/Q17))*(Q12-Q11)+Q11</f>
        <v>3.0166666666666666</v>
      </c>
      <c r="R14" s="161">
        <f>(1/(1+R18/R17))*(R12-R11)+R11</f>
        <v>236.89995842052264</v>
      </c>
    </row>
    <row r="15" spans="1:18" x14ac:dyDescent="0.25">
      <c r="A15" s="86" t="s">
        <v>130</v>
      </c>
      <c r="B15" s="142">
        <v>2.9</v>
      </c>
      <c r="C15" s="146">
        <f t="shared" si="0"/>
        <v>227.73808157553006</v>
      </c>
      <c r="G15" s="142">
        <f t="shared" si="1"/>
        <v>0.29629629629629628</v>
      </c>
      <c r="H15" s="144">
        <f t="shared" si="2"/>
        <v>0.29629629629629628</v>
      </c>
      <c r="P15" s="161" t="s">
        <v>94</v>
      </c>
      <c r="Q15" s="161">
        <f>_xlfn.BETA.INV(0.75,Q17,Q18,Q11,Q12)</f>
        <v>3.5977496792154935</v>
      </c>
      <c r="R15" s="161">
        <f>_xlfn.BETA.INV(0.75,R17,R18,R11,R12)</f>
        <v>282.53262411500521</v>
      </c>
    </row>
    <row r="16" spans="1:18" x14ac:dyDescent="0.25">
      <c r="A16" s="86" t="s">
        <v>271</v>
      </c>
      <c r="B16" s="142">
        <v>2.1</v>
      </c>
      <c r="C16" s="146">
        <f t="shared" si="0"/>
        <v>164.91378320986661</v>
      </c>
      <c r="G16" s="142">
        <f t="shared" si="1"/>
        <v>0</v>
      </c>
      <c r="H16" s="144">
        <f t="shared" si="2"/>
        <v>0</v>
      </c>
      <c r="P16" s="161" t="s">
        <v>301</v>
      </c>
      <c r="Q16" s="161">
        <f>_xlfn.BETA.INV(0.25,Q17,Q18,Q11,Q12)</f>
        <v>2.3273215672342129</v>
      </c>
      <c r="R16" s="161">
        <f>_xlfn.BETA.INV(0.25,R17,R18,R11,R12)</f>
        <v>182.76543066595713</v>
      </c>
    </row>
    <row r="17" spans="1:18" x14ac:dyDescent="0.25">
      <c r="A17" s="86" t="s">
        <v>272</v>
      </c>
      <c r="B17" s="142">
        <v>2.2000000000000002</v>
      </c>
      <c r="C17" s="146">
        <f t="shared" si="0"/>
        <v>172.76682050557454</v>
      </c>
      <c r="G17" s="142">
        <f t="shared" si="1"/>
        <v>3.7037037037037077E-2</v>
      </c>
      <c r="H17" s="144">
        <f t="shared" si="2"/>
        <v>3.7037037037037049E-2</v>
      </c>
      <c r="P17" s="161" t="s">
        <v>92</v>
      </c>
      <c r="Q17" s="162">
        <f>G25</f>
        <v>0.60310542858292715</v>
      </c>
      <c r="R17" s="162">
        <f>H25</f>
        <v>0.60310542858292715</v>
      </c>
    </row>
    <row r="18" spans="1:18" x14ac:dyDescent="0.25">
      <c r="A18" s="86" t="s">
        <v>134</v>
      </c>
      <c r="B18" s="142">
        <v>2.7</v>
      </c>
      <c r="C18" s="146">
        <f t="shared" si="0"/>
        <v>212.03200698411419</v>
      </c>
      <c r="G18" s="142">
        <f t="shared" si="1"/>
        <v>0.22222222222222227</v>
      </c>
      <c r="H18" s="144">
        <f t="shared" si="2"/>
        <v>0.22222222222222218</v>
      </c>
      <c r="P18" s="161" t="s">
        <v>93</v>
      </c>
      <c r="Q18" s="162">
        <f>G26</f>
        <v>1.1733141974249675</v>
      </c>
      <c r="R18" s="162">
        <f>H26</f>
        <v>1.1733141974249675</v>
      </c>
    </row>
    <row r="19" spans="1:18" x14ac:dyDescent="0.25">
      <c r="A19" s="86" t="s">
        <v>273</v>
      </c>
      <c r="B19" s="142">
        <v>3.3</v>
      </c>
      <c r="C19" s="146">
        <f t="shared" si="0"/>
        <v>259.15023075836177</v>
      </c>
      <c r="G19" s="142">
        <f t="shared" si="1"/>
        <v>0.44444444444444436</v>
      </c>
      <c r="H19" s="144">
        <f t="shared" si="2"/>
        <v>0.44444444444444436</v>
      </c>
      <c r="P19" s="161" t="s">
        <v>183</v>
      </c>
      <c r="Q19" s="163">
        <f>(Q14-Q13)^2</f>
        <v>1.9721522630525295E-31</v>
      </c>
      <c r="R19" s="163"/>
    </row>
    <row r="20" spans="1:18" x14ac:dyDescent="0.25">
      <c r="A20" s="86" t="s">
        <v>132</v>
      </c>
      <c r="B20" s="142">
        <v>2.2000000000000002</v>
      </c>
      <c r="C20" s="146">
        <f t="shared" si="0"/>
        <v>172.76682050557454</v>
      </c>
      <c r="G20" s="142">
        <f t="shared" si="1"/>
        <v>3.7037037037037077E-2</v>
      </c>
      <c r="H20" s="144">
        <f t="shared" si="2"/>
        <v>3.7037037037037049E-2</v>
      </c>
      <c r="P20" s="161" t="s">
        <v>294</v>
      </c>
      <c r="Q20" s="164">
        <f>MROUND(Q15*1000,10)</f>
        <v>3600</v>
      </c>
      <c r="R20" s="164">
        <f>MROUND(R15,10)</f>
        <v>280</v>
      </c>
    </row>
    <row r="21" spans="1:18" x14ac:dyDescent="0.25">
      <c r="A21" s="86" t="s">
        <v>274</v>
      </c>
      <c r="B21" s="142">
        <v>3.5</v>
      </c>
      <c r="C21" s="146">
        <f t="shared" si="0"/>
        <v>274.85630534977764</v>
      </c>
      <c r="G21" s="142">
        <f t="shared" si="1"/>
        <v>0.51851851851851849</v>
      </c>
      <c r="H21" s="144">
        <f t="shared" si="2"/>
        <v>0.51851851851851849</v>
      </c>
      <c r="P21" s="161" t="s">
        <v>295</v>
      </c>
      <c r="Q21" s="164">
        <f>MROUND(Q16*1000,10)</f>
        <v>2330</v>
      </c>
      <c r="R21" s="164">
        <f>MROUND(R16,10)</f>
        <v>180</v>
      </c>
    </row>
    <row r="22" spans="1:18" x14ac:dyDescent="0.25">
      <c r="A22" s="136" t="s">
        <v>275</v>
      </c>
      <c r="B22" s="143">
        <v>4.8</v>
      </c>
      <c r="C22" s="147">
        <f t="shared" si="0"/>
        <v>376.94579019398077</v>
      </c>
      <c r="D22" s="77"/>
      <c r="E22" s="77"/>
      <c r="F22" s="77"/>
      <c r="G22" s="143">
        <f t="shared" si="1"/>
        <v>1</v>
      </c>
      <c r="H22" s="145">
        <f t="shared" si="2"/>
        <v>1</v>
      </c>
    </row>
    <row r="23" spans="1:18" s="77" customFormat="1" x14ac:dyDescent="0.25">
      <c r="A23" s="153" t="s">
        <v>28</v>
      </c>
      <c r="B23" s="154">
        <f>AVERAGE(B11:B22)</f>
        <v>3.0166666666666662</v>
      </c>
      <c r="C23" s="155">
        <f>AVERAGE(C11:C22)</f>
        <v>236.89995842052267</v>
      </c>
      <c r="G23" s="154">
        <f t="shared" ref="G23:H23" si="3">AVERAGE(G11:G22)</f>
        <v>0.33950617283950618</v>
      </c>
      <c r="H23" s="154">
        <f t="shared" si="3"/>
        <v>0.33950617283950618</v>
      </c>
    </row>
    <row r="24" spans="1:18" s="77" customFormat="1" x14ac:dyDescent="0.25">
      <c r="A24" s="156" t="s">
        <v>293</v>
      </c>
      <c r="B24" s="157">
        <f>VAR(B11:B22)</f>
        <v>0.58878787878788197</v>
      </c>
      <c r="C24" s="158">
        <f>VAR(C11:C22)</f>
        <v>3631.0663161756343</v>
      </c>
      <c r="G24" s="157">
        <f t="shared" ref="G24:H24" si="4">VAR(G11:G22)</f>
        <v>8.0766512865278223E-2</v>
      </c>
      <c r="H24" s="157">
        <f t="shared" si="4"/>
        <v>8.0766512865278223E-2</v>
      </c>
    </row>
    <row r="25" spans="1:18" s="77" customFormat="1" x14ac:dyDescent="0.25">
      <c r="A25" s="159" t="s">
        <v>92</v>
      </c>
      <c r="B25" s="154">
        <f>G25</f>
        <v>0.60310542858292715</v>
      </c>
      <c r="C25" s="155">
        <f>H25</f>
        <v>0.60310542858292715</v>
      </c>
      <c r="G25" s="154">
        <f>G23*(G23*(1-G23)/G24-1)</f>
        <v>0.60310542858292715</v>
      </c>
      <c r="H25" s="154">
        <f>H23*(H23*(1-H23)/H24-1)</f>
        <v>0.60310542858292715</v>
      </c>
    </row>
    <row r="26" spans="1:18" x14ac:dyDescent="0.25">
      <c r="A26" s="160" t="s">
        <v>93</v>
      </c>
      <c r="B26" s="157">
        <f>G26</f>
        <v>1.1733141974249675</v>
      </c>
      <c r="C26" s="158">
        <f>H26</f>
        <v>1.1733141974249675</v>
      </c>
      <c r="G26" s="157">
        <f>(1-G23)*(G23*(1-G23)/G24-1)</f>
        <v>1.1733141974249675</v>
      </c>
      <c r="H26" s="157">
        <f>(1-H23)*(H23*(1-H23)/H24-1)</f>
        <v>1.1733141974249675</v>
      </c>
      <c r="J26" s="77"/>
    </row>
    <row r="27" spans="1:18" s="77" customFormat="1" x14ac:dyDescent="0.25"/>
    <row r="28" spans="1:18" s="77" customFormat="1" x14ac:dyDescent="0.25"/>
    <row r="29" spans="1:18" x14ac:dyDescent="0.25">
      <c r="A29" t="s">
        <v>286</v>
      </c>
    </row>
    <row r="40" spans="1:18" x14ac:dyDescent="0.25">
      <c r="A40" t="s">
        <v>284</v>
      </c>
    </row>
    <row r="41" spans="1:18" x14ac:dyDescent="0.25">
      <c r="A41" s="134"/>
      <c r="B41" s="134"/>
      <c r="C41" s="135"/>
      <c r="G41" s="134"/>
      <c r="H41" s="175"/>
    </row>
    <row r="42" spans="1:18" x14ac:dyDescent="0.25">
      <c r="A42" s="136"/>
      <c r="B42" s="136" t="s">
        <v>283</v>
      </c>
      <c r="C42" s="137" t="s">
        <v>288</v>
      </c>
      <c r="G42" s="148" t="s">
        <v>291</v>
      </c>
      <c r="H42" s="176" t="s">
        <v>292</v>
      </c>
      <c r="P42" s="165" t="s">
        <v>180</v>
      </c>
      <c r="Q42" s="161" t="s">
        <v>261</v>
      </c>
      <c r="R42" s="161" t="s">
        <v>260</v>
      </c>
    </row>
    <row r="43" spans="1:18" x14ac:dyDescent="0.25">
      <c r="A43" s="86" t="s">
        <v>282</v>
      </c>
      <c r="B43" s="170">
        <v>0.85</v>
      </c>
      <c r="C43" s="172">
        <f t="shared" ref="C43:C51" si="5">B43*1000*discount_rate_LRMC/((1+discount_rate_LRMC)^0.5-(1/(1+discount_rate_LRMC))^50.5)</f>
        <v>66.750817013517434</v>
      </c>
      <c r="G43" s="142">
        <f>(B43-Q$43)/(Q$44-Q$43)</f>
        <v>0.37209302325581395</v>
      </c>
      <c r="H43" s="174">
        <f>(C43-R$43)/(R$44-R$43)</f>
        <v>0.37209302325581389</v>
      </c>
      <c r="P43" s="161" t="s">
        <v>45</v>
      </c>
      <c r="Q43" s="161">
        <f>MIN(B43:B50)</f>
        <v>0.37</v>
      </c>
      <c r="R43" s="161">
        <f>MIN(C43:C50)</f>
        <v>29.056237994119353</v>
      </c>
    </row>
    <row r="44" spans="1:18" x14ac:dyDescent="0.25">
      <c r="A44" s="86" t="s">
        <v>281</v>
      </c>
      <c r="B44" s="170">
        <v>0.9</v>
      </c>
      <c r="C44" s="172">
        <f t="shared" si="5"/>
        <v>70.677335661371401</v>
      </c>
      <c r="G44" s="142">
        <f t="shared" ref="G44:H48" si="6">(B44-Q$43)/(Q$44-Q$43)</f>
        <v>0.41085271317829458</v>
      </c>
      <c r="H44" s="174">
        <f t="shared" si="6"/>
        <v>0.41085271317829453</v>
      </c>
      <c r="P44" s="161" t="s">
        <v>47</v>
      </c>
      <c r="Q44" s="161">
        <f>MAX(B43:B50)</f>
        <v>1.66</v>
      </c>
      <c r="R44" s="161">
        <f>MAX(C43:C50)</f>
        <v>130.3604191087517</v>
      </c>
    </row>
    <row r="45" spans="1:18" x14ac:dyDescent="0.25">
      <c r="A45" s="86" t="s">
        <v>280</v>
      </c>
      <c r="B45" s="170">
        <v>0.9</v>
      </c>
      <c r="C45" s="172">
        <f t="shared" si="5"/>
        <v>70.677335661371401</v>
      </c>
      <c r="G45" s="142">
        <f t="shared" si="6"/>
        <v>0.41085271317829458</v>
      </c>
      <c r="H45" s="174">
        <f t="shared" si="6"/>
        <v>0.41085271317829453</v>
      </c>
      <c r="P45" s="161" t="s">
        <v>181</v>
      </c>
      <c r="Q45" s="162">
        <f>B52</f>
        <v>0.83125000000000004</v>
      </c>
      <c r="R45" s="163">
        <f>AVERAGE(C43:C52)</f>
        <v>63.933539883682215</v>
      </c>
    </row>
    <row r="46" spans="1:18" x14ac:dyDescent="0.25">
      <c r="A46" s="86" t="s">
        <v>279</v>
      </c>
      <c r="B46" s="170">
        <v>0.47</v>
      </c>
      <c r="C46" s="172">
        <f t="shared" si="5"/>
        <v>36.909275289827285</v>
      </c>
      <c r="G46" s="142">
        <f t="shared" si="6"/>
        <v>7.7519379844961225E-2</v>
      </c>
      <c r="H46" s="174">
        <f t="shared" si="6"/>
        <v>7.7519379844961225E-2</v>
      </c>
      <c r="P46" s="161" t="s">
        <v>182</v>
      </c>
      <c r="Q46" s="161">
        <f>(1/(1+Q50/Q49))*(Q44-Q43)+Q43</f>
        <v>0.83125000000000004</v>
      </c>
      <c r="R46" s="161">
        <f>(1/(1+R50/R49))*(R44-R43)+R43</f>
        <v>65.278372520572191</v>
      </c>
    </row>
    <row r="47" spans="1:18" x14ac:dyDescent="0.25">
      <c r="A47" s="86" t="s">
        <v>278</v>
      </c>
      <c r="B47" s="170">
        <v>0.37</v>
      </c>
      <c r="C47" s="172">
        <f t="shared" si="5"/>
        <v>29.056237994119353</v>
      </c>
      <c r="G47" s="142">
        <f t="shared" si="6"/>
        <v>0</v>
      </c>
      <c r="H47" s="174">
        <f t="shared" si="6"/>
        <v>0</v>
      </c>
      <c r="P47" s="161" t="s">
        <v>94</v>
      </c>
      <c r="Q47" s="161">
        <f>_xlfn.BETA.INV(0.75,Q49,Q50,Q43,Q44)</f>
        <v>1.2026528424315557</v>
      </c>
      <c r="R47" s="161">
        <f>_xlfn.BETA.INV(0.75,R49,R50,R43,R44)</f>
        <v>94.444776254041642</v>
      </c>
    </row>
    <row r="48" spans="1:18" x14ac:dyDescent="0.25">
      <c r="A48" s="86" t="s">
        <v>277</v>
      </c>
      <c r="B48" s="170">
        <v>1.66</v>
      </c>
      <c r="C48" s="172">
        <f t="shared" si="5"/>
        <v>130.3604191087517</v>
      </c>
      <c r="G48" s="142">
        <f t="shared" si="6"/>
        <v>1</v>
      </c>
      <c r="H48" s="174">
        <f t="shared" si="6"/>
        <v>1</v>
      </c>
      <c r="P48" s="161" t="s">
        <v>301</v>
      </c>
      <c r="Q48" s="161">
        <f>_xlfn.BETA.INV(0.25,Q49,Q50,Q43,Q44)</f>
        <v>0.42572222331846371</v>
      </c>
      <c r="R48" s="161">
        <f>_xlfn.BETA.INV(0.25,R49,R50,R43,R44)</f>
        <v>33.432124973315965</v>
      </c>
    </row>
    <row r="49" spans="1:18" x14ac:dyDescent="0.25">
      <c r="A49" s="86" t="s">
        <v>296</v>
      </c>
      <c r="B49" s="170">
        <v>0.4</v>
      </c>
      <c r="C49" s="172">
        <f t="shared" si="5"/>
        <v>31.412149182831733</v>
      </c>
      <c r="G49" s="142">
        <f t="shared" ref="G49:G50" si="7">(B49-Q$43)/(Q$44-Q$43)</f>
        <v>2.3255813953488393E-2</v>
      </c>
      <c r="H49" s="174">
        <f t="shared" ref="H49:H50" si="8">(C49-R$43)/(R$44-R$43)</f>
        <v>2.3255813953488368E-2</v>
      </c>
      <c r="P49" s="161" t="s">
        <v>92</v>
      </c>
      <c r="Q49" s="162">
        <f>G54</f>
        <v>0.37949815860027553</v>
      </c>
      <c r="R49" s="162">
        <f>H54</f>
        <v>0.37949815860027519</v>
      </c>
    </row>
    <row r="50" spans="1:18" x14ac:dyDescent="0.25">
      <c r="A50" s="86" t="s">
        <v>297</v>
      </c>
      <c r="B50" s="170">
        <v>1.1000000000000001</v>
      </c>
      <c r="C50" s="172">
        <f t="shared" si="5"/>
        <v>86.383410252787272</v>
      </c>
      <c r="G50" s="142">
        <f t="shared" si="7"/>
        <v>0.56589147286821706</v>
      </c>
      <c r="H50" s="174">
        <f t="shared" si="8"/>
        <v>0.56589147286821706</v>
      </c>
      <c r="P50" s="161" t="s">
        <v>93</v>
      </c>
      <c r="Q50" s="162">
        <f>G55</f>
        <v>0.68186254512732436</v>
      </c>
      <c r="R50" s="162">
        <f>H55</f>
        <v>0.6818625451273238</v>
      </c>
    </row>
    <row r="51" spans="1:18" s="77" customFormat="1" x14ac:dyDescent="0.25">
      <c r="A51" s="169" t="s">
        <v>276</v>
      </c>
      <c r="B51" s="171">
        <v>0.66</v>
      </c>
      <c r="C51" s="173">
        <f t="shared" si="5"/>
        <v>51.830046151672363</v>
      </c>
      <c r="P51" s="161" t="s">
        <v>183</v>
      </c>
      <c r="Q51" s="163">
        <f>(Q46-Q45)^2</f>
        <v>0</v>
      </c>
      <c r="R51" s="163"/>
    </row>
    <row r="52" spans="1:18" s="77" customFormat="1" x14ac:dyDescent="0.25">
      <c r="A52" s="153" t="s">
        <v>28</v>
      </c>
      <c r="B52" s="154">
        <f>AVERAGE(B43:B50)</f>
        <v>0.83125000000000004</v>
      </c>
      <c r="C52" s="154">
        <f>AVERAGE(C43:C50)</f>
        <v>65.278372520572191</v>
      </c>
      <c r="G52" s="154">
        <f>AVERAGE(G43:G50)</f>
        <v>0.35755813953488375</v>
      </c>
      <c r="H52" s="154">
        <f>AVERAGE(H43:H50)</f>
        <v>0.35755813953488369</v>
      </c>
      <c r="P52" s="161" t="s">
        <v>294</v>
      </c>
      <c r="Q52" s="164">
        <f>MROUND(Q47*1000,10)</f>
        <v>1200</v>
      </c>
      <c r="R52" s="164">
        <f>MROUND(R47,10)</f>
        <v>90</v>
      </c>
    </row>
    <row r="53" spans="1:18" s="77" customFormat="1" x14ac:dyDescent="0.25">
      <c r="A53" s="156" t="s">
        <v>293</v>
      </c>
      <c r="B53" s="157">
        <f>VAR(B43:B50)</f>
        <v>0.18544107142857133</v>
      </c>
      <c r="C53" s="157">
        <f>VAR(C43:C50)</f>
        <v>1143.6186992945784</v>
      </c>
      <c r="G53" s="157">
        <f>VAR(G43:G50)</f>
        <v>0.11143625468936445</v>
      </c>
      <c r="H53" s="157">
        <f>VAR(H43:H50)</f>
        <v>0.11143625468936448</v>
      </c>
      <c r="P53" s="161" t="s">
        <v>295</v>
      </c>
      <c r="Q53" s="164">
        <f>MROUND(Q48*1000,10)</f>
        <v>430</v>
      </c>
      <c r="R53" s="164">
        <f>MROUND(R48,10)</f>
        <v>30</v>
      </c>
    </row>
    <row r="54" spans="1:18" s="77" customFormat="1" x14ac:dyDescent="0.25">
      <c r="A54" s="159" t="s">
        <v>92</v>
      </c>
      <c r="B54" s="154">
        <f>G54</f>
        <v>0.37949815860027553</v>
      </c>
      <c r="C54" s="155">
        <f>H54</f>
        <v>0.37949815860027519</v>
      </c>
      <c r="G54" s="154">
        <f>G52*(G52*(1-G52)/G53-1)</f>
        <v>0.37949815860027553</v>
      </c>
      <c r="H54" s="154">
        <f>H52*(H52*(1-H52)/H53-1)</f>
        <v>0.37949815860027519</v>
      </c>
    </row>
    <row r="55" spans="1:18" s="77" customFormat="1" x14ac:dyDescent="0.25">
      <c r="A55" s="160" t="s">
        <v>93</v>
      </c>
      <c r="B55" s="157">
        <f>G55</f>
        <v>0.68186254512732436</v>
      </c>
      <c r="C55" s="158">
        <f>H55</f>
        <v>0.6818625451273238</v>
      </c>
      <c r="G55" s="157">
        <f>(1-G52)*(G52*(1-G52)/G53-1)</f>
        <v>0.68186254512732436</v>
      </c>
      <c r="H55" s="157">
        <f>(1-H52)*(H52*(1-H52)/H53-1)</f>
        <v>0.6818625451273238</v>
      </c>
    </row>
    <row r="56" spans="1:18" s="77" customFormat="1" x14ac:dyDescent="0.25"/>
    <row r="57" spans="1:18" s="77" customFormat="1" x14ac:dyDescent="0.25"/>
    <row r="58" spans="1:18" s="77" customFormat="1" x14ac:dyDescent="0.25">
      <c r="A58" s="141"/>
      <c r="B58" s="151"/>
      <c r="C58" s="152"/>
    </row>
    <row r="59" spans="1:18" s="77" customFormat="1" x14ac:dyDescent="0.25">
      <c r="A59" s="141"/>
      <c r="B59" s="151"/>
      <c r="C59" s="152"/>
    </row>
    <row r="60" spans="1:18" s="77" customFormat="1" x14ac:dyDescent="0.25">
      <c r="A60" s="141"/>
      <c r="B60" s="151"/>
      <c r="C60" s="152"/>
    </row>
    <row r="61" spans="1:18" s="77" customFormat="1" x14ac:dyDescent="0.25">
      <c r="A61" s="141"/>
      <c r="B61" s="151"/>
      <c r="C61" s="152"/>
    </row>
    <row r="63" spans="1:18" x14ac:dyDescent="0.25">
      <c r="A63" s="77" t="s">
        <v>285</v>
      </c>
    </row>
    <row r="73" spans="1:3" x14ac:dyDescent="0.25">
      <c r="A73" s="78" t="s">
        <v>110</v>
      </c>
    </row>
    <row r="74" spans="1:3" x14ac:dyDescent="0.25">
      <c r="A74" s="138"/>
      <c r="B74" s="138" t="s">
        <v>283</v>
      </c>
      <c r="C74" s="139" t="s">
        <v>288</v>
      </c>
    </row>
    <row r="75" spans="1:3" x14ac:dyDescent="0.25">
      <c r="A75" s="136" t="s">
        <v>289</v>
      </c>
      <c r="B75" s="136">
        <v>0.94</v>
      </c>
      <c r="C75" s="140">
        <f>B75*1000*discount_rate_LRMC/((1+discount_rate_LRMC)^0.5-(1/(1+discount_rate_LRMC))^50.5)</f>
        <v>73.81855057965457</v>
      </c>
    </row>
    <row r="77" spans="1:3" x14ac:dyDescent="0.25">
      <c r="A77" s="77" t="s">
        <v>290</v>
      </c>
    </row>
    <row r="79" spans="1:3" ht="21" x14ac:dyDescent="0.35">
      <c r="A79" s="178" t="s">
        <v>113</v>
      </c>
      <c r="B79" s="54"/>
      <c r="C79" s="54"/>
    </row>
    <row r="80" spans="1:3" x14ac:dyDescent="0.25">
      <c r="A80" s="177" t="s">
        <v>358</v>
      </c>
      <c r="B80" s="177"/>
      <c r="C80" s="177"/>
    </row>
    <row r="81" spans="1:3" x14ac:dyDescent="0.25">
      <c r="A81" s="177"/>
      <c r="B81" s="179" t="s">
        <v>18</v>
      </c>
      <c r="C81" s="179" t="s">
        <v>20</v>
      </c>
    </row>
    <row r="82" spans="1:3" x14ac:dyDescent="0.25">
      <c r="A82" s="177" t="s">
        <v>298</v>
      </c>
      <c r="B82" s="180">
        <f>Q21</f>
        <v>2330</v>
      </c>
      <c r="C82" s="180">
        <f>Q20</f>
        <v>3600</v>
      </c>
    </row>
    <row r="83" spans="1:3" x14ac:dyDescent="0.25">
      <c r="A83" s="177" t="s">
        <v>109</v>
      </c>
      <c r="B83" s="180">
        <f>Q53</f>
        <v>430</v>
      </c>
      <c r="C83" s="180">
        <f>Q52</f>
        <v>1200</v>
      </c>
    </row>
    <row r="84" spans="1:3" x14ac:dyDescent="0.25">
      <c r="A84" s="177" t="s">
        <v>110</v>
      </c>
      <c r="B84" s="179">
        <f>B75*1000</f>
        <v>940</v>
      </c>
      <c r="C84" s="179">
        <f>B84</f>
        <v>940</v>
      </c>
    </row>
    <row r="85" spans="1:3" x14ac:dyDescent="0.25">
      <c r="A85" s="177" t="s">
        <v>299</v>
      </c>
      <c r="B85" s="180">
        <f>B82+B83+B84</f>
        <v>3700</v>
      </c>
      <c r="C85" s="180">
        <f>C82+C83+C84</f>
        <v>5740</v>
      </c>
    </row>
    <row r="86" spans="1:3" x14ac:dyDescent="0.25">
      <c r="A86" s="54"/>
      <c r="B86" s="181"/>
      <c r="C86" s="181"/>
    </row>
    <row r="87" spans="1:3" x14ac:dyDescent="0.25">
      <c r="A87" s="54" t="s">
        <v>359</v>
      </c>
      <c r="B87" s="181"/>
      <c r="C87" s="181"/>
    </row>
    <row r="88" spans="1:3" x14ac:dyDescent="0.25">
      <c r="A88" s="54"/>
      <c r="B88" s="181" t="s">
        <v>18</v>
      </c>
      <c r="C88" s="181" t="s">
        <v>20</v>
      </c>
    </row>
    <row r="89" spans="1:3" x14ac:dyDescent="0.25">
      <c r="A89" s="54" t="s">
        <v>298</v>
      </c>
      <c r="B89" s="182">
        <f>R21</f>
        <v>180</v>
      </c>
      <c r="C89" s="182">
        <f>R20</f>
        <v>280</v>
      </c>
    </row>
    <row r="90" spans="1:3" x14ac:dyDescent="0.25">
      <c r="A90" s="54" t="s">
        <v>109</v>
      </c>
      <c r="B90" s="182">
        <f>R53</f>
        <v>30</v>
      </c>
      <c r="C90" s="182">
        <f>R52</f>
        <v>90</v>
      </c>
    </row>
    <row r="91" spans="1:3" x14ac:dyDescent="0.25">
      <c r="A91" s="54" t="s">
        <v>110</v>
      </c>
      <c r="B91" s="182">
        <f>C75</f>
        <v>73.81855057965457</v>
      </c>
      <c r="C91" s="182">
        <f>B91</f>
        <v>73.81855057965457</v>
      </c>
    </row>
    <row r="92" spans="1:3" x14ac:dyDescent="0.25">
      <c r="A92" s="54" t="s">
        <v>299</v>
      </c>
      <c r="B92" s="182">
        <f>B89+B90+B91</f>
        <v>283.81855057965458</v>
      </c>
      <c r="C92" s="182">
        <f>C89+C90+C91</f>
        <v>443.81855057965458</v>
      </c>
    </row>
  </sheetData>
  <hyperlinks>
    <hyperlink ref="F1" location="Contents!A1" display="Back to the Contents of this spreadsheet"/>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AC73"/>
  <sheetViews>
    <sheetView zoomScale="90" zoomScaleNormal="90" workbookViewId="0">
      <selection activeCell="B41" sqref="B41"/>
    </sheetView>
  </sheetViews>
  <sheetFormatPr defaultRowHeight="15" x14ac:dyDescent="0.25"/>
  <cols>
    <col min="1" max="1" width="46.140625" customWidth="1"/>
    <col min="2" max="2" width="23.7109375" customWidth="1"/>
    <col min="3" max="4" width="24.42578125" customWidth="1"/>
    <col min="5" max="5" width="23.42578125" customWidth="1"/>
    <col min="6" max="6" width="18.85546875" customWidth="1"/>
    <col min="7" max="7" width="21.7109375" bestFit="1" customWidth="1"/>
    <col min="8" max="8" width="22.140625" customWidth="1"/>
    <col min="9" max="9" width="25.28515625" customWidth="1"/>
    <col min="12" max="12" width="14.85546875" customWidth="1"/>
    <col min="13" max="13" width="19.140625" bestFit="1" customWidth="1"/>
    <col min="14" max="14" width="16.5703125" bestFit="1" customWidth="1"/>
    <col min="15" max="15" width="15.42578125" customWidth="1"/>
    <col min="16" max="16" width="23.28515625" customWidth="1"/>
    <col min="17" max="17" width="12.5703125" customWidth="1"/>
    <col min="18" max="18" width="32.42578125" customWidth="1"/>
    <col min="19" max="19" width="18.7109375" customWidth="1"/>
    <col min="22" max="22" width="18.7109375" customWidth="1"/>
    <col min="23" max="23" width="18.5703125" bestFit="1" customWidth="1"/>
    <col min="24" max="24" width="20.85546875" customWidth="1"/>
    <col min="25" max="25" width="22.42578125" customWidth="1"/>
    <col min="26" max="26" width="15.140625" bestFit="1" customWidth="1"/>
    <col min="27" max="27" width="15.140625" customWidth="1"/>
    <col min="28" max="28" width="22.85546875" customWidth="1"/>
    <col min="29" max="29" width="21" customWidth="1"/>
  </cols>
  <sheetData>
    <row r="1" spans="1:29" ht="23.25" customHeight="1" x14ac:dyDescent="0.35">
      <c r="A1" s="10" t="s">
        <v>258</v>
      </c>
      <c r="G1" s="223" t="s">
        <v>389</v>
      </c>
      <c r="L1" s="10"/>
      <c r="V1" s="10"/>
    </row>
    <row r="2" spans="1:29" ht="16.149999999999999" customHeight="1" x14ac:dyDescent="0.25">
      <c r="B2" t="s">
        <v>20</v>
      </c>
      <c r="C2" s="77" t="s">
        <v>7</v>
      </c>
      <c r="D2" s="77" t="s">
        <v>85</v>
      </c>
    </row>
    <row r="3" spans="1:29" ht="16.149999999999999" customHeight="1" x14ac:dyDescent="0.25">
      <c r="B3" s="119"/>
      <c r="C3" s="120">
        <f>meters_nonVic</f>
        <v>6200000</v>
      </c>
      <c r="D3" s="119">
        <f>meters_nonVic</f>
        <v>6200000</v>
      </c>
      <c r="F3" t="s">
        <v>217</v>
      </c>
      <c r="G3" s="1"/>
      <c r="L3" s="1"/>
      <c r="Q3" s="1"/>
      <c r="V3" s="1"/>
      <c r="AA3" s="1"/>
    </row>
    <row r="4" spans="1:29" ht="16.149999999999999" customHeight="1" x14ac:dyDescent="0.25">
      <c r="A4" s="1" t="s">
        <v>39</v>
      </c>
      <c r="B4" s="119">
        <f>(44000-11000)*0.45</f>
        <v>14850</v>
      </c>
      <c r="C4" s="119">
        <f>(44000-11000)*0.35</f>
        <v>11550</v>
      </c>
      <c r="D4" s="119">
        <f>AVERAGE(C4,B4)</f>
        <v>13200</v>
      </c>
      <c r="F4" t="s">
        <v>218</v>
      </c>
      <c r="G4" s="77">
        <v>-7.0000000000000001E-3</v>
      </c>
      <c r="L4" s="1"/>
      <c r="V4" s="1"/>
    </row>
    <row r="5" spans="1:29" x14ac:dyDescent="0.25">
      <c r="A5" s="1" t="s">
        <v>43</v>
      </c>
      <c r="B5" s="119">
        <v>8</v>
      </c>
      <c r="C5" s="119">
        <v>8</v>
      </c>
      <c r="D5" s="119">
        <f>AVERAGE(C5,B5)</f>
        <v>8</v>
      </c>
      <c r="F5" t="s">
        <v>220</v>
      </c>
      <c r="G5" s="77">
        <v>1</v>
      </c>
      <c r="L5" s="1"/>
      <c r="V5" s="1"/>
    </row>
    <row r="6" spans="1:29" x14ac:dyDescent="0.25">
      <c r="A6" s="1" t="s">
        <v>224</v>
      </c>
      <c r="B6" s="121">
        <f>savings_high*1000*(1-EXP(-elasticity_high*LN($B$5)))*PeakD_nonVic_max</f>
        <v>1926439701.0721557</v>
      </c>
      <c r="C6" s="121">
        <f>savings_low*1000*(1-EXP(-elasticity_low*LN($B$5)))*PeakD_nonVic_min</f>
        <v>588251058.28786182</v>
      </c>
      <c r="D6" s="121">
        <f>savings_medium*1000*(1-EXP(-elasticity_medium*LN($B$5)))*PeakD_nonVic_medium</f>
        <v>1154038297.1246958</v>
      </c>
      <c r="F6" t="s">
        <v>219</v>
      </c>
      <c r="G6" s="77">
        <v>0.3</v>
      </c>
      <c r="L6" s="1"/>
      <c r="V6" s="1"/>
    </row>
    <row r="7" spans="1:29" x14ac:dyDescent="0.25">
      <c r="A7" t="s">
        <v>226</v>
      </c>
      <c r="B7" s="119">
        <v>15</v>
      </c>
      <c r="F7" t="s">
        <v>221</v>
      </c>
      <c r="G7" s="77">
        <v>0.2</v>
      </c>
    </row>
    <row r="8" spans="1:29" x14ac:dyDescent="0.25">
      <c r="B8" s="1"/>
      <c r="C8" s="1" t="s">
        <v>9</v>
      </c>
      <c r="F8" t="s">
        <v>222</v>
      </c>
      <c r="G8" s="77">
        <v>0.5</v>
      </c>
      <c r="L8" s="1"/>
      <c r="V8" s="1"/>
    </row>
    <row r="9" spans="1:29" x14ac:dyDescent="0.25">
      <c r="B9" s="1"/>
      <c r="F9" t="s">
        <v>223</v>
      </c>
      <c r="G9" s="77">
        <v>1.55</v>
      </c>
      <c r="L9" s="1"/>
      <c r="V9" s="1"/>
    </row>
    <row r="10" spans="1:29" x14ac:dyDescent="0.25">
      <c r="A10" s="1" t="s">
        <v>0</v>
      </c>
      <c r="B10" t="s">
        <v>8</v>
      </c>
      <c r="C10" t="s">
        <v>7</v>
      </c>
      <c r="D10" t="s">
        <v>85</v>
      </c>
    </row>
    <row r="11" spans="1:29" x14ac:dyDescent="0.25">
      <c r="A11">
        <v>0</v>
      </c>
      <c r="B11" s="3">
        <f t="shared" ref="B11:B25" si="0">IF($A11&lt;maxeffect_years,(a_val+(K_val-a_val)/((1+EXP(-b_val*($A11-M_val)))^(1/V_val)))*$B$6,$B$6)</f>
        <v>3095437.1575826975</v>
      </c>
      <c r="C11" s="3">
        <f t="shared" ref="C11:C25" si="1">IF($A11&lt;maxeffect_years,(a_val+(K_val-a_val)/((1+EXP(-b_val*($A11-M_val)))^(1/V_val)))*$C$6,$C$6)</f>
        <v>945212.1355255387</v>
      </c>
      <c r="D11" s="80">
        <f t="shared" ref="D11:D25" si="2">IF($A11&lt;maxeffect_years,(a_val+(K_val-a_val)/((1+EXP(-b_val*($A11-M_val)))^(1/V_val)))*$D$6,$D$6)</f>
        <v>1854329.0112870471</v>
      </c>
      <c r="F11" s="80">
        <f t="shared" ref="F11:F25" si="3">IF($A11&lt;maxeffect_years,(a_val+(K_val-a_val)/((1+EXP(-b_val*($A11-M_val)))^(1/V_val)))*$B$6,$B$6)</f>
        <v>3095437.1575826975</v>
      </c>
      <c r="G11" s="1">
        <f t="shared" ref="G11:G25" si="4">F11/B$6</f>
        <v>1.6068175691457869E-3</v>
      </c>
      <c r="I11" s="1"/>
      <c r="L11" s="1"/>
      <c r="M11" s="1"/>
      <c r="N11" s="1"/>
      <c r="O11" s="1"/>
      <c r="P11" s="1"/>
      <c r="Q11" s="1"/>
      <c r="R11" s="1"/>
      <c r="S11" s="1"/>
      <c r="V11" s="1"/>
      <c r="W11" s="1"/>
      <c r="X11" s="1"/>
      <c r="Y11" s="1"/>
      <c r="Z11" s="1"/>
      <c r="AA11" s="1"/>
      <c r="AB11" s="1"/>
      <c r="AC11" s="1"/>
    </row>
    <row r="12" spans="1:29" x14ac:dyDescent="0.25">
      <c r="A12">
        <f>A11+1</f>
        <v>1</v>
      </c>
      <c r="B12" s="80">
        <f t="shared" si="0"/>
        <v>25970373.261012055</v>
      </c>
      <c r="C12" s="80">
        <f t="shared" si="1"/>
        <v>7930224.6244295612</v>
      </c>
      <c r="D12" s="80">
        <f t="shared" si="2"/>
        <v>15557614.036479263</v>
      </c>
      <c r="F12" s="80">
        <f t="shared" si="3"/>
        <v>25970373.261012055</v>
      </c>
      <c r="G12" s="78">
        <f t="shared" si="4"/>
        <v>1.3481020582454931E-2</v>
      </c>
      <c r="I12" s="12"/>
      <c r="M12" s="3"/>
      <c r="O12" s="2"/>
      <c r="Q12" s="7"/>
      <c r="R12" s="3"/>
      <c r="S12" s="12"/>
      <c r="W12" s="3"/>
      <c r="Y12" s="2"/>
      <c r="AA12" s="7"/>
      <c r="AB12" s="3"/>
      <c r="AC12" s="12"/>
    </row>
    <row r="13" spans="1:29" x14ac:dyDescent="0.25">
      <c r="A13" s="77">
        <f t="shared" ref="A13:A25" si="5">A12+1</f>
        <v>2</v>
      </c>
      <c r="B13" s="80">
        <f t="shared" si="0"/>
        <v>70512384.507768691</v>
      </c>
      <c r="C13" s="80">
        <f t="shared" si="1"/>
        <v>21531421.298061147</v>
      </c>
      <c r="D13" s="80">
        <f t="shared" si="2"/>
        <v>42240612.098192662</v>
      </c>
      <c r="F13" s="80">
        <f t="shared" si="3"/>
        <v>70512384.507768691</v>
      </c>
      <c r="G13" s="78">
        <f>F13/B$6</f>
        <v>3.660243529476951E-2</v>
      </c>
      <c r="I13" s="12"/>
      <c r="M13" s="3"/>
      <c r="O13" s="2"/>
      <c r="P13" s="2"/>
      <c r="Q13" s="7"/>
      <c r="R13" s="3"/>
      <c r="S13" s="12"/>
      <c r="W13" s="3"/>
      <c r="Y13" s="2"/>
      <c r="Z13" s="2"/>
      <c r="AA13" s="7"/>
      <c r="AB13" s="3"/>
      <c r="AC13" s="12"/>
    </row>
    <row r="14" spans="1:29" ht="15" customHeight="1" x14ac:dyDescent="0.25">
      <c r="A14" s="77">
        <f t="shared" si="5"/>
        <v>3</v>
      </c>
      <c r="B14" s="80">
        <f t="shared" si="0"/>
        <v>146458930.06773564</v>
      </c>
      <c r="C14" s="80">
        <f t="shared" si="1"/>
        <v>44722199.485457174</v>
      </c>
      <c r="D14" s="80">
        <f t="shared" si="2"/>
        <v>87736571.334159732</v>
      </c>
      <c r="F14" s="80">
        <f t="shared" si="3"/>
        <v>146458930.06773564</v>
      </c>
      <c r="G14" s="78">
        <f t="shared" si="4"/>
        <v>7.602570170570315E-2</v>
      </c>
      <c r="I14" s="12"/>
      <c r="M14" s="3"/>
      <c r="O14" s="2"/>
      <c r="P14" s="2"/>
      <c r="Q14" s="7"/>
      <c r="R14" s="3"/>
      <c r="S14" s="12"/>
      <c r="W14" s="3"/>
      <c r="Y14" s="2"/>
      <c r="Z14" s="2"/>
      <c r="AA14" s="7"/>
      <c r="AB14" s="3"/>
      <c r="AC14" s="12"/>
    </row>
    <row r="15" spans="1:29" x14ac:dyDescent="0.25">
      <c r="A15" s="77">
        <f t="shared" si="5"/>
        <v>4</v>
      </c>
      <c r="B15" s="80">
        <f t="shared" si="0"/>
        <v>260169067.10642359</v>
      </c>
      <c r="C15" s="80">
        <f t="shared" si="1"/>
        <v>79444339.199375257</v>
      </c>
      <c r="D15" s="80">
        <f t="shared" si="2"/>
        <v>155854900.10453847</v>
      </c>
      <c r="F15" s="80">
        <f t="shared" si="3"/>
        <v>260169067.10642359</v>
      </c>
      <c r="G15" s="78">
        <f t="shared" si="4"/>
        <v>0.13505175737482314</v>
      </c>
      <c r="I15" s="12"/>
      <c r="K15" s="77"/>
      <c r="L15" s="77"/>
      <c r="M15" s="3"/>
      <c r="O15" s="2"/>
      <c r="P15" s="2"/>
      <c r="Q15" s="7"/>
      <c r="R15" s="3"/>
      <c r="S15" s="12"/>
      <c r="W15" s="3"/>
      <c r="Y15" s="2"/>
      <c r="Z15" s="2"/>
      <c r="AA15" s="7"/>
      <c r="AB15" s="3"/>
      <c r="AC15" s="12"/>
    </row>
    <row r="16" spans="1:29" x14ac:dyDescent="0.25">
      <c r="A16" s="77">
        <f t="shared" si="5"/>
        <v>5</v>
      </c>
      <c r="B16" s="80">
        <f t="shared" si="0"/>
        <v>410866337.43665153</v>
      </c>
      <c r="C16" s="80">
        <f t="shared" si="1"/>
        <v>125460743.81536809</v>
      </c>
      <c r="D16" s="80">
        <f t="shared" si="2"/>
        <v>246130459.28059092</v>
      </c>
      <c r="F16" s="80">
        <f t="shared" si="3"/>
        <v>410866337.43665153</v>
      </c>
      <c r="G16" s="78">
        <f t="shared" si="4"/>
        <v>0.21327754884203476</v>
      </c>
      <c r="I16" s="12"/>
      <c r="K16" s="77"/>
      <c r="L16" s="77"/>
      <c r="M16" s="3"/>
      <c r="O16" s="2"/>
      <c r="P16" s="2"/>
      <c r="Q16" s="7"/>
      <c r="R16" s="3"/>
      <c r="S16" s="12"/>
      <c r="W16" s="3"/>
      <c r="Y16" s="2"/>
      <c r="Z16" s="2"/>
      <c r="AA16" s="7"/>
      <c r="AB16" s="3"/>
      <c r="AC16" s="12"/>
    </row>
    <row r="17" spans="1:29" x14ac:dyDescent="0.25">
      <c r="A17" s="77">
        <f t="shared" si="5"/>
        <v>6</v>
      </c>
      <c r="B17" s="80">
        <f t="shared" si="0"/>
        <v>589763357.2586993</v>
      </c>
      <c r="C17" s="80">
        <f t="shared" si="1"/>
        <v>180088127.77983642</v>
      </c>
      <c r="D17" s="80">
        <f t="shared" si="2"/>
        <v>353299145.6408323</v>
      </c>
      <c r="F17" s="80">
        <f t="shared" si="3"/>
        <v>589763357.2586993</v>
      </c>
      <c r="G17" s="78">
        <f t="shared" si="4"/>
        <v>0.30614161290927916</v>
      </c>
      <c r="I17" s="12"/>
      <c r="M17" s="3"/>
      <c r="O17" s="2"/>
      <c r="P17" s="2"/>
      <c r="Q17" s="7"/>
      <c r="R17" s="3"/>
      <c r="S17" s="12"/>
      <c r="W17" s="3"/>
      <c r="Y17" s="2"/>
      <c r="Z17" s="2"/>
      <c r="AA17" s="7"/>
      <c r="AB17" s="3"/>
      <c r="AC17" s="12"/>
    </row>
    <row r="18" spans="1:29" x14ac:dyDescent="0.25">
      <c r="A18" s="77">
        <f t="shared" si="5"/>
        <v>7</v>
      </c>
      <c r="B18" s="80">
        <f t="shared" si="0"/>
        <v>782732778.93984663</v>
      </c>
      <c r="C18" s="80">
        <f t="shared" si="1"/>
        <v>239012612.3915039</v>
      </c>
      <c r="D18" s="80">
        <f t="shared" si="2"/>
        <v>468897937.89480662</v>
      </c>
      <c r="F18" s="80">
        <f t="shared" si="3"/>
        <v>782732778.93984663</v>
      </c>
      <c r="G18" s="78">
        <f t="shared" si="4"/>
        <v>0.4063105523127552</v>
      </c>
      <c r="I18" s="12"/>
      <c r="M18" s="3"/>
      <c r="O18" s="2"/>
      <c r="P18" s="2"/>
      <c r="Q18" s="7"/>
      <c r="R18" s="3"/>
      <c r="S18" s="12"/>
      <c r="W18" s="3"/>
      <c r="Y18" s="2"/>
      <c r="Z18" s="2"/>
      <c r="AA18" s="7"/>
      <c r="AB18" s="3"/>
      <c r="AC18" s="12"/>
    </row>
    <row r="19" spans="1:29" x14ac:dyDescent="0.25">
      <c r="A19" s="77">
        <f t="shared" si="5"/>
        <v>8</v>
      </c>
      <c r="B19" s="80">
        <f t="shared" si="0"/>
        <v>974725721.56562209</v>
      </c>
      <c r="C19" s="80">
        <f t="shared" si="1"/>
        <v>297638922.68845046</v>
      </c>
      <c r="D19" s="80">
        <f t="shared" si="2"/>
        <v>583911768.04194105</v>
      </c>
      <c r="F19" s="80">
        <f t="shared" si="3"/>
        <v>974725721.56562209</v>
      </c>
      <c r="G19" s="78">
        <f t="shared" si="4"/>
        <v>0.5059726089652018</v>
      </c>
      <c r="I19" s="12"/>
      <c r="M19" s="3"/>
      <c r="O19" s="2"/>
      <c r="P19" s="2"/>
      <c r="Q19" s="7"/>
      <c r="R19" s="3"/>
      <c r="S19" s="12"/>
      <c r="W19" s="3"/>
      <c r="Y19" s="2"/>
      <c r="Z19" s="2"/>
      <c r="AA19" s="7"/>
      <c r="AB19" s="3"/>
      <c r="AC19" s="12"/>
    </row>
    <row r="20" spans="1:29" x14ac:dyDescent="0.25">
      <c r="A20" s="77">
        <f t="shared" si="5"/>
        <v>9</v>
      </c>
      <c r="B20" s="80">
        <f t="shared" si="0"/>
        <v>1153491727.0038249</v>
      </c>
      <c r="C20" s="80">
        <f t="shared" si="1"/>
        <v>352226300.54740465</v>
      </c>
      <c r="D20" s="80">
        <f t="shared" si="2"/>
        <v>691001969.92309546</v>
      </c>
      <c r="F20" s="80">
        <f t="shared" si="3"/>
        <v>1153491727.0038249</v>
      </c>
      <c r="G20" s="78">
        <f t="shared" si="4"/>
        <v>0.59876866447563959</v>
      </c>
      <c r="I20" s="12"/>
      <c r="M20" s="3"/>
      <c r="O20" s="2"/>
      <c r="P20" s="2"/>
      <c r="Q20" s="7"/>
      <c r="R20" s="3"/>
      <c r="S20" s="12"/>
      <c r="W20" s="3"/>
      <c r="Y20" s="2"/>
      <c r="Z20" s="2"/>
      <c r="AA20" s="7"/>
      <c r="AB20" s="3"/>
      <c r="AC20" s="12"/>
    </row>
    <row r="21" spans="1:29" x14ac:dyDescent="0.25">
      <c r="A21" s="77">
        <f t="shared" si="5"/>
        <v>10</v>
      </c>
      <c r="B21" s="80">
        <f t="shared" si="0"/>
        <v>1311317072.8027291</v>
      </c>
      <c r="C21" s="80">
        <f t="shared" si="1"/>
        <v>400419309.98298812</v>
      </c>
      <c r="D21" s="80">
        <f t="shared" si="2"/>
        <v>785547619.70778155</v>
      </c>
      <c r="F21" s="80">
        <f t="shared" si="3"/>
        <v>1311317072.8027291</v>
      </c>
      <c r="G21" s="78">
        <f t="shared" si="4"/>
        <v>0.68069458497606672</v>
      </c>
      <c r="I21" s="12"/>
      <c r="M21" s="3"/>
      <c r="O21" s="2"/>
      <c r="P21" s="2"/>
      <c r="Q21" s="7"/>
      <c r="R21" s="3"/>
      <c r="S21" s="12"/>
      <c r="W21" s="3"/>
      <c r="Y21" s="2"/>
      <c r="Z21" s="2"/>
      <c r="AA21" s="7"/>
      <c r="AB21" s="3"/>
      <c r="AC21" s="12"/>
    </row>
    <row r="22" spans="1:29" x14ac:dyDescent="0.25">
      <c r="A22" s="77">
        <f t="shared" si="5"/>
        <v>11</v>
      </c>
      <c r="B22" s="80">
        <f t="shared" si="0"/>
        <v>1444933968.6830604</v>
      </c>
      <c r="C22" s="80">
        <f t="shared" si="1"/>
        <v>441220109.69813061</v>
      </c>
      <c r="D22" s="80">
        <f t="shared" si="2"/>
        <v>865591139.83613348</v>
      </c>
      <c r="F22" s="80">
        <f t="shared" si="3"/>
        <v>1444933968.6830604</v>
      </c>
      <c r="G22" s="78">
        <f t="shared" si="4"/>
        <v>0.75005408572035015</v>
      </c>
      <c r="I22" s="12"/>
      <c r="M22" s="3"/>
      <c r="O22" s="2"/>
      <c r="P22" s="2"/>
      <c r="Q22" s="7"/>
      <c r="R22" s="3"/>
      <c r="S22" s="12"/>
      <c r="W22" s="3"/>
      <c r="Y22" s="2"/>
      <c r="Z22" s="2"/>
      <c r="AA22" s="7"/>
      <c r="AB22" s="3"/>
      <c r="AC22" s="12"/>
    </row>
    <row r="23" spans="1:29" x14ac:dyDescent="0.25">
      <c r="A23" s="77">
        <f t="shared" si="5"/>
        <v>12</v>
      </c>
      <c r="B23" s="80">
        <f t="shared" si="0"/>
        <v>1554432162.9494627</v>
      </c>
      <c r="C23" s="80">
        <f t="shared" si="1"/>
        <v>474656104.9291116</v>
      </c>
      <c r="D23" s="80">
        <f t="shared" si="2"/>
        <v>931186294.2440809</v>
      </c>
      <c r="F23" s="80">
        <f t="shared" si="3"/>
        <v>1554432162.9494627</v>
      </c>
      <c r="G23" s="78">
        <f t="shared" si="4"/>
        <v>0.80689375436165844</v>
      </c>
      <c r="I23" s="12"/>
      <c r="M23" s="3"/>
      <c r="O23" s="2"/>
      <c r="P23" s="2"/>
      <c r="Q23" s="7"/>
      <c r="R23" s="3"/>
      <c r="S23" s="12"/>
      <c r="W23" s="3"/>
      <c r="Y23" s="2"/>
      <c r="Z23" s="2"/>
      <c r="AA23" s="7"/>
      <c r="AB23" s="3"/>
      <c r="AC23" s="12"/>
    </row>
    <row r="24" spans="1:29" x14ac:dyDescent="0.25">
      <c r="A24" s="77">
        <f t="shared" si="5"/>
        <v>13</v>
      </c>
      <c r="B24" s="80">
        <f t="shared" si="0"/>
        <v>1641950028.9473758</v>
      </c>
      <c r="C24" s="80">
        <f t="shared" si="1"/>
        <v>501380262.06920546</v>
      </c>
      <c r="D24" s="80">
        <f t="shared" si="2"/>
        <v>983614080.58382893</v>
      </c>
      <c r="F24" s="80">
        <f t="shared" si="3"/>
        <v>1641950028.9473758</v>
      </c>
      <c r="G24" s="78">
        <f t="shared" si="4"/>
        <v>0.8523236040212171</v>
      </c>
      <c r="I24" s="12"/>
      <c r="M24" s="3"/>
      <c r="O24" s="2"/>
      <c r="P24" s="2"/>
      <c r="Q24" s="7"/>
      <c r="R24" s="3"/>
      <c r="S24" s="12"/>
      <c r="W24" s="3"/>
      <c r="Y24" s="2"/>
      <c r="Z24" s="2"/>
      <c r="AA24" s="7"/>
      <c r="AB24" s="3"/>
      <c r="AC24" s="12"/>
    </row>
    <row r="25" spans="1:29" x14ac:dyDescent="0.25">
      <c r="A25" s="77">
        <f t="shared" si="5"/>
        <v>14</v>
      </c>
      <c r="B25" s="80">
        <f t="shared" si="0"/>
        <v>1710581665.4906054</v>
      </c>
      <c r="C25" s="80">
        <f t="shared" si="1"/>
        <v>522337384.5818454</v>
      </c>
      <c r="D25" s="80">
        <f t="shared" si="2"/>
        <v>1024728026.1286331</v>
      </c>
      <c r="F25" s="80">
        <f t="shared" si="3"/>
        <v>1710581665.4906054</v>
      </c>
      <c r="G25" s="78">
        <f t="shared" si="4"/>
        <v>0.887949757544233</v>
      </c>
      <c r="I25" s="12"/>
      <c r="M25" s="3"/>
      <c r="O25" s="2"/>
      <c r="P25" s="2"/>
      <c r="Q25" s="7"/>
      <c r="R25" s="3"/>
      <c r="S25" s="12"/>
      <c r="W25" s="3"/>
      <c r="Y25" s="2"/>
      <c r="Z25" s="2"/>
      <c r="AA25" s="7"/>
      <c r="AB25" s="3"/>
      <c r="AC25" s="12"/>
    </row>
    <row r="26" spans="1:29" x14ac:dyDescent="0.25">
      <c r="F26" s="2"/>
      <c r="G26" s="7"/>
      <c r="H26" s="3"/>
      <c r="I26" s="12"/>
      <c r="M26" s="3"/>
      <c r="O26" s="2"/>
      <c r="P26" s="2"/>
      <c r="Q26" s="7"/>
      <c r="R26" s="3"/>
      <c r="S26" s="12"/>
      <c r="W26" s="3"/>
      <c r="Y26" s="2"/>
      <c r="Z26" s="2"/>
      <c r="AA26" s="7"/>
      <c r="AB26" s="3"/>
      <c r="AC26" s="12"/>
    </row>
    <row r="27" spans="1:29" x14ac:dyDescent="0.25">
      <c r="E27" s="2"/>
      <c r="F27" s="2"/>
    </row>
    <row r="28" spans="1:29" x14ac:dyDescent="0.25">
      <c r="C28" s="3"/>
      <c r="D28" s="3"/>
      <c r="E28" s="2"/>
      <c r="H28" s="77"/>
      <c r="I28" s="77"/>
      <c r="R28" s="1"/>
      <c r="S28" s="2"/>
      <c r="AB28" s="1"/>
      <c r="AC28" s="2"/>
    </row>
    <row r="29" spans="1:29" x14ac:dyDescent="0.25">
      <c r="C29" s="3"/>
      <c r="D29" s="3"/>
      <c r="E29" s="2"/>
      <c r="F29" s="122"/>
      <c r="G29" s="122"/>
      <c r="H29" s="122"/>
      <c r="I29" s="122"/>
      <c r="R29" s="1"/>
      <c r="S29" s="9"/>
      <c r="AB29" s="1"/>
      <c r="AC29" s="9"/>
    </row>
    <row r="30" spans="1:29" x14ac:dyDescent="0.25">
      <c r="A30" s="46"/>
      <c r="C30" s="3"/>
      <c r="D30" s="3"/>
      <c r="E30" s="2"/>
      <c r="F30" s="18"/>
      <c r="G30" s="18"/>
      <c r="H30" s="18"/>
    </row>
    <row r="31" spans="1:29" x14ac:dyDescent="0.25">
      <c r="C31" s="3"/>
      <c r="D31" s="3"/>
      <c r="E31" s="2"/>
      <c r="F31" s="2"/>
    </row>
    <row r="32" spans="1:29" x14ac:dyDescent="0.25">
      <c r="C32" s="3"/>
      <c r="D32" s="3"/>
      <c r="E32" s="2"/>
      <c r="F32" s="2"/>
    </row>
    <row r="33" spans="1:29" x14ac:dyDescent="0.25">
      <c r="C33" s="3"/>
      <c r="D33" s="3"/>
      <c r="E33" s="2"/>
      <c r="F33" s="2"/>
      <c r="H33" s="12"/>
      <c r="I33" s="12"/>
      <c r="R33" s="12"/>
      <c r="S33" s="12"/>
      <c r="AB33" s="12"/>
      <c r="AC33" s="12"/>
    </row>
    <row r="34" spans="1:29" x14ac:dyDescent="0.25">
      <c r="C34" s="3"/>
      <c r="D34" s="3"/>
      <c r="E34" s="2"/>
      <c r="F34" s="2"/>
      <c r="M34" s="3"/>
    </row>
    <row r="35" spans="1:29" ht="15.75" x14ac:dyDescent="0.25">
      <c r="C35" s="3"/>
      <c r="D35" s="3"/>
      <c r="E35" s="2"/>
      <c r="F35" s="2"/>
      <c r="L35" s="26"/>
      <c r="M35" s="3"/>
    </row>
    <row r="36" spans="1:29" x14ac:dyDescent="0.25">
      <c r="C36" s="3"/>
      <c r="D36" s="3"/>
      <c r="E36" s="2"/>
      <c r="F36" s="2"/>
      <c r="M36" s="3"/>
    </row>
    <row r="37" spans="1:29" ht="23.25" x14ac:dyDescent="0.35">
      <c r="A37" s="10"/>
      <c r="C37" s="3"/>
      <c r="D37" s="3"/>
      <c r="E37" s="2"/>
      <c r="F37" s="2"/>
      <c r="L37" s="26"/>
    </row>
    <row r="38" spans="1:29" ht="15.75" x14ac:dyDescent="0.25">
      <c r="L38" s="26"/>
    </row>
    <row r="39" spans="1:29" ht="15.75" x14ac:dyDescent="0.25">
      <c r="L39" s="26"/>
    </row>
    <row r="40" spans="1:29" ht="15.75" x14ac:dyDescent="0.25">
      <c r="B40" s="1"/>
      <c r="C40" s="1"/>
      <c r="D40" s="1"/>
      <c r="E40" s="1"/>
      <c r="L40" s="26"/>
    </row>
    <row r="41" spans="1:29" x14ac:dyDescent="0.25">
      <c r="A41" s="1"/>
    </row>
    <row r="42" spans="1:29" x14ac:dyDescent="0.25">
      <c r="A42" s="1"/>
    </row>
    <row r="43" spans="1:29" x14ac:dyDescent="0.25">
      <c r="A43" s="1"/>
      <c r="B43" s="8"/>
      <c r="C43" s="11"/>
      <c r="D43" s="11"/>
      <c r="E43" s="11"/>
      <c r="F43" s="1"/>
    </row>
    <row r="44" spans="1:29" x14ac:dyDescent="0.25">
      <c r="A44" s="1"/>
      <c r="B44" s="8"/>
      <c r="C44" s="8"/>
      <c r="D44" s="8"/>
      <c r="E44" s="8"/>
      <c r="F44" s="3"/>
    </row>
    <row r="45" spans="1:29" x14ac:dyDescent="0.25">
      <c r="F45" s="3"/>
    </row>
    <row r="46" spans="1:29" x14ac:dyDescent="0.25">
      <c r="F46" s="3"/>
    </row>
    <row r="47" spans="1:29" x14ac:dyDescent="0.25">
      <c r="F47" s="3"/>
    </row>
    <row r="48" spans="1:29" x14ac:dyDescent="0.25">
      <c r="F48" s="3"/>
    </row>
    <row r="49" spans="1:7" x14ac:dyDescent="0.25">
      <c r="A49" s="1"/>
    </row>
    <row r="50" spans="1:7" x14ac:dyDescent="0.25">
      <c r="A50" s="1"/>
    </row>
    <row r="51" spans="1:7" x14ac:dyDescent="0.25">
      <c r="A51" s="1"/>
    </row>
    <row r="52" spans="1:7" x14ac:dyDescent="0.25">
      <c r="A52" s="1"/>
    </row>
    <row r="54" spans="1:7" x14ac:dyDescent="0.25">
      <c r="A54" s="1"/>
      <c r="C54" s="1"/>
      <c r="D54" s="1"/>
      <c r="E54" s="1"/>
      <c r="F54" s="1"/>
      <c r="G54" s="1"/>
    </row>
    <row r="55" spans="1:7" x14ac:dyDescent="0.25">
      <c r="B55" s="3"/>
      <c r="C55" s="3"/>
      <c r="D55" s="3"/>
      <c r="E55" s="7"/>
      <c r="F55" s="3"/>
      <c r="G55" s="8"/>
    </row>
    <row r="56" spans="1:7" x14ac:dyDescent="0.25">
      <c r="B56" s="3"/>
      <c r="C56" s="3"/>
      <c r="D56" s="3"/>
      <c r="E56" s="7"/>
      <c r="F56" s="3"/>
      <c r="G56" s="8"/>
    </row>
    <row r="57" spans="1:7" x14ac:dyDescent="0.25">
      <c r="B57" s="3"/>
      <c r="C57" s="3"/>
      <c r="D57" s="3"/>
      <c r="E57" s="7"/>
      <c r="F57" s="3"/>
      <c r="G57" s="8"/>
    </row>
    <row r="58" spans="1:7" x14ac:dyDescent="0.25">
      <c r="B58" s="3"/>
      <c r="C58" s="3"/>
      <c r="D58" s="3"/>
      <c r="E58" s="7"/>
      <c r="F58" s="3"/>
      <c r="G58" s="8"/>
    </row>
    <row r="59" spans="1:7" x14ac:dyDescent="0.25">
      <c r="B59" s="3"/>
      <c r="C59" s="3"/>
      <c r="D59" s="3"/>
      <c r="E59" s="7"/>
      <c r="F59" s="3"/>
      <c r="G59" s="8"/>
    </row>
    <row r="60" spans="1:7" x14ac:dyDescent="0.25">
      <c r="B60" s="3"/>
      <c r="C60" s="3"/>
      <c r="D60" s="3"/>
      <c r="E60" s="7"/>
      <c r="F60" s="3"/>
      <c r="G60" s="8"/>
    </row>
    <row r="61" spans="1:7" x14ac:dyDescent="0.25">
      <c r="B61" s="3"/>
      <c r="C61" s="3"/>
      <c r="D61" s="3"/>
      <c r="E61" s="7"/>
      <c r="F61" s="3"/>
      <c r="G61" s="8"/>
    </row>
    <row r="62" spans="1:7" x14ac:dyDescent="0.25">
      <c r="B62" s="3"/>
      <c r="C62" s="3"/>
      <c r="D62" s="3"/>
      <c r="E62" s="7"/>
      <c r="F62" s="3"/>
      <c r="G62" s="8"/>
    </row>
    <row r="63" spans="1:7" x14ac:dyDescent="0.25">
      <c r="B63" s="3"/>
      <c r="C63" s="3"/>
      <c r="D63" s="3"/>
      <c r="E63" s="7"/>
      <c r="F63" s="3"/>
      <c r="G63" s="8"/>
    </row>
    <row r="64" spans="1:7" x14ac:dyDescent="0.25">
      <c r="B64" s="3"/>
      <c r="C64" s="3"/>
      <c r="D64" s="3"/>
      <c r="E64" s="7"/>
      <c r="F64" s="3"/>
      <c r="G64" s="8"/>
    </row>
    <row r="65" spans="2:7" x14ac:dyDescent="0.25">
      <c r="B65" s="3"/>
      <c r="C65" s="3"/>
      <c r="D65" s="3"/>
      <c r="E65" s="7"/>
      <c r="F65" s="3"/>
      <c r="G65" s="8"/>
    </row>
    <row r="66" spans="2:7" x14ac:dyDescent="0.25">
      <c r="B66" s="3"/>
      <c r="C66" s="3"/>
      <c r="D66" s="3"/>
      <c r="E66" s="7"/>
      <c r="F66" s="3"/>
      <c r="G66" s="8"/>
    </row>
    <row r="67" spans="2:7" x14ac:dyDescent="0.25">
      <c r="B67" s="3"/>
      <c r="C67" s="3"/>
      <c r="D67" s="3"/>
      <c r="E67" s="7"/>
      <c r="F67" s="3"/>
      <c r="G67" s="8"/>
    </row>
    <row r="68" spans="2:7" x14ac:dyDescent="0.25">
      <c r="B68" s="3"/>
      <c r="C68" s="3"/>
      <c r="D68" s="3"/>
      <c r="E68" s="7"/>
      <c r="F68" s="3"/>
      <c r="G68" s="8"/>
    </row>
    <row r="69" spans="2:7" x14ac:dyDescent="0.25">
      <c r="B69" s="3"/>
      <c r="C69" s="3"/>
      <c r="D69" s="3"/>
      <c r="E69" s="7"/>
      <c r="F69" s="3"/>
      <c r="G69" s="8"/>
    </row>
    <row r="70" spans="2:7" x14ac:dyDescent="0.25">
      <c r="B70" s="3"/>
      <c r="C70" s="3"/>
      <c r="D70" s="3"/>
      <c r="E70" s="7"/>
      <c r="F70" s="3"/>
      <c r="G70" s="8"/>
    </row>
    <row r="72" spans="2:7" x14ac:dyDescent="0.25">
      <c r="F72" s="1"/>
      <c r="G72" s="2"/>
    </row>
    <row r="73" spans="2:7" x14ac:dyDescent="0.25">
      <c r="F73" s="1"/>
      <c r="G73" s="9"/>
    </row>
  </sheetData>
  <hyperlinks>
    <hyperlink ref="G1" location="Contents!A1" display="Back to the Contents of this spreadsheet"/>
  </hyperlinks>
  <pageMargins left="0.7" right="0.7" top="0.75" bottom="0.75" header="0.3" footer="0.3"/>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4" tint="0.39997558519241921"/>
  </sheetPr>
  <dimension ref="A1:AH70"/>
  <sheetViews>
    <sheetView zoomScaleNormal="100" workbookViewId="0">
      <selection activeCell="G1" sqref="G1"/>
    </sheetView>
  </sheetViews>
  <sheetFormatPr defaultRowHeight="15" x14ac:dyDescent="0.25"/>
  <cols>
    <col min="1" max="1" width="34.85546875" bestFit="1" customWidth="1"/>
    <col min="2" max="2" width="23.7109375" customWidth="1"/>
    <col min="3" max="3" width="24.42578125" customWidth="1"/>
    <col min="4" max="4" width="23.42578125" customWidth="1"/>
    <col min="5" max="5" width="21.140625" customWidth="1"/>
    <col min="6" max="6" width="21.7109375" bestFit="1" customWidth="1"/>
    <col min="7" max="7" width="22.140625" customWidth="1"/>
    <col min="8" max="8" width="17.140625" customWidth="1"/>
    <col min="9" max="9" width="14.140625" customWidth="1"/>
    <col min="10" max="10" width="13.7109375" customWidth="1"/>
    <col min="12" max="12" width="19.42578125" style="77" customWidth="1"/>
    <col min="13" max="13" width="29.7109375" customWidth="1"/>
    <col min="14" max="14" width="19.140625" bestFit="1" customWidth="1"/>
    <col min="15" max="15" width="16.5703125" bestFit="1" customWidth="1"/>
    <col min="16" max="16" width="15.42578125" customWidth="1"/>
    <col min="17" max="17" width="23.28515625" customWidth="1"/>
    <col min="18" max="18" width="12.5703125" customWidth="1"/>
    <col min="19" max="19" width="32.42578125" customWidth="1"/>
    <col min="20" max="20" width="18.7109375" customWidth="1"/>
    <col min="21" max="22" width="18.7109375" style="77" customWidth="1"/>
    <col min="25" max="25" width="18.7109375" customWidth="1"/>
    <col min="26" max="26" width="18.5703125" bestFit="1" customWidth="1"/>
    <col min="27" max="27" width="20.85546875" customWidth="1"/>
    <col min="28" max="28" width="22.42578125" customWidth="1"/>
    <col min="29" max="29" width="15.140625" bestFit="1" customWidth="1"/>
    <col min="30" max="30" width="15.140625" customWidth="1"/>
    <col min="31" max="31" width="22.85546875" customWidth="1"/>
    <col min="32" max="32" width="21" customWidth="1"/>
    <col min="33" max="34" width="13.5703125" customWidth="1"/>
  </cols>
  <sheetData>
    <row r="1" spans="1:34" ht="24.75" customHeight="1" x14ac:dyDescent="0.35">
      <c r="A1" s="10" t="s">
        <v>8</v>
      </c>
      <c r="B1" s="10" t="s">
        <v>82</v>
      </c>
      <c r="K1" s="223" t="s">
        <v>389</v>
      </c>
      <c r="M1" s="10" t="s">
        <v>7</v>
      </c>
      <c r="Y1" s="10" t="s">
        <v>15</v>
      </c>
    </row>
    <row r="2" spans="1:34" ht="16.149999999999999" customHeight="1" thickBot="1" x14ac:dyDescent="0.3">
      <c r="A2" t="s">
        <v>371</v>
      </c>
    </row>
    <row r="3" spans="1:34" ht="16.149999999999999" customHeight="1" x14ac:dyDescent="0.25">
      <c r="A3" s="1" t="s">
        <v>1</v>
      </c>
      <c r="B3" s="4">
        <f>meters_by_region</f>
        <v>10000</v>
      </c>
      <c r="D3" s="221" t="s">
        <v>372</v>
      </c>
      <c r="E3" s="222">
        <f>25000000/D12</f>
        <v>7157954.6841323981</v>
      </c>
      <c r="F3" s="1"/>
      <c r="M3" s="1" t="s">
        <v>1</v>
      </c>
      <c r="N3" s="4">
        <f>meters_by_region</f>
        <v>10000</v>
      </c>
      <c r="R3" s="1"/>
      <c r="Y3" s="1" t="s">
        <v>1</v>
      </c>
      <c r="Z3" s="14">
        <f>meters_by_region</f>
        <v>10000</v>
      </c>
      <c r="AD3" s="1"/>
    </row>
    <row r="4" spans="1:34" ht="16.149999999999999" customHeight="1" x14ac:dyDescent="0.25">
      <c r="A4" s="1" t="s">
        <v>202</v>
      </c>
      <c r="B4" s="15">
        <f>meters_by_region*PeakD_nonVic_max/Meters_NonVic*1.5</f>
        <v>35.927419354838712</v>
      </c>
      <c r="C4" t="s">
        <v>197</v>
      </c>
      <c r="M4" s="78" t="s">
        <v>202</v>
      </c>
      <c r="N4" s="15">
        <f>meters_by_region*PeakD_nonVic_min/Meters_NonVic*1.5</f>
        <v>27.943548387096776</v>
      </c>
      <c r="Y4" s="78" t="s">
        <v>202</v>
      </c>
      <c r="Z4" s="5">
        <f t="shared" ref="Z4" si="0">AVERAGE(N4,B4)</f>
        <v>31.935483870967744</v>
      </c>
    </row>
    <row r="5" spans="1:34" ht="16.149999999999999" customHeight="1" x14ac:dyDescent="0.25">
      <c r="A5" s="1" t="s">
        <v>240</v>
      </c>
      <c r="B5" s="5">
        <f>savings_high</f>
        <v>381.27285019321818</v>
      </c>
      <c r="M5" s="78" t="s">
        <v>241</v>
      </c>
      <c r="N5" s="5">
        <f>savings_low</f>
        <v>271.27285019321818</v>
      </c>
      <c r="Y5" s="78" t="s">
        <v>241</v>
      </c>
      <c r="Z5" s="5">
        <f>savings_medium</f>
        <v>326.27285019321818</v>
      </c>
    </row>
    <row r="6" spans="1:34" x14ac:dyDescent="0.25">
      <c r="A6" s="1" t="s">
        <v>365</v>
      </c>
      <c r="B6" s="5">
        <f>elasticity_high</f>
        <v>0.2</v>
      </c>
      <c r="C6" s="77"/>
      <c r="D6" s="77"/>
      <c r="M6" s="78" t="s">
        <v>210</v>
      </c>
      <c r="N6" s="5">
        <f>elasticity_low</f>
        <v>0.1</v>
      </c>
      <c r="Y6" s="78" t="s">
        <v>210</v>
      </c>
      <c r="Z6" s="5">
        <f>elasticity_medium</f>
        <v>0.15</v>
      </c>
    </row>
    <row r="7" spans="1:34" ht="15.75" thickBot="1" x14ac:dyDescent="0.3">
      <c r="A7" s="1" t="s">
        <v>14</v>
      </c>
      <c r="B7" s="13">
        <v>8</v>
      </c>
      <c r="C7" s="77" t="s">
        <v>41</v>
      </c>
    </row>
    <row r="8" spans="1:34" ht="15.75" thickBot="1" x14ac:dyDescent="0.3">
      <c r="A8" s="78" t="s">
        <v>362</v>
      </c>
      <c r="B8" s="199">
        <v>1</v>
      </c>
      <c r="C8" s="18"/>
      <c r="D8" s="77"/>
      <c r="E8" s="18">
        <f>0.08*E12</f>
        <v>2000000</v>
      </c>
      <c r="M8" s="1"/>
      <c r="N8" s="78"/>
      <c r="Y8" s="1"/>
      <c r="Z8" s="78"/>
    </row>
    <row r="9" spans="1:34" x14ac:dyDescent="0.25">
      <c r="C9" s="81"/>
    </row>
    <row r="10" spans="1:34" x14ac:dyDescent="0.25">
      <c r="A10" s="1" t="s">
        <v>0</v>
      </c>
      <c r="B10" s="1" t="s">
        <v>237</v>
      </c>
      <c r="C10" s="1" t="s">
        <v>370</v>
      </c>
      <c r="D10" s="78" t="s">
        <v>361</v>
      </c>
      <c r="E10" s="78" t="s">
        <v>373</v>
      </c>
      <c r="F10" s="1" t="s">
        <v>235</v>
      </c>
      <c r="G10" s="1" t="s">
        <v>236</v>
      </c>
      <c r="H10" s="1" t="s">
        <v>3</v>
      </c>
      <c r="I10" s="1" t="s">
        <v>238</v>
      </c>
      <c r="J10" s="1" t="s">
        <v>239</v>
      </c>
      <c r="L10" s="78" t="s">
        <v>364</v>
      </c>
      <c r="M10" s="1" t="s">
        <v>0</v>
      </c>
      <c r="N10" s="1" t="s">
        <v>4</v>
      </c>
      <c r="O10" s="1" t="s">
        <v>9</v>
      </c>
      <c r="P10" s="78" t="s">
        <v>361</v>
      </c>
      <c r="Q10" s="78" t="s">
        <v>360</v>
      </c>
      <c r="R10" s="1" t="s">
        <v>10</v>
      </c>
      <c r="S10" s="1" t="s">
        <v>11</v>
      </c>
      <c r="T10" s="1" t="s">
        <v>3</v>
      </c>
      <c r="U10" s="1" t="s">
        <v>6</v>
      </c>
      <c r="V10" s="1" t="s">
        <v>5</v>
      </c>
      <c r="Y10" s="1" t="s">
        <v>0</v>
      </c>
      <c r="Z10" s="1" t="s">
        <v>4</v>
      </c>
      <c r="AA10" s="1" t="s">
        <v>9</v>
      </c>
      <c r="AB10" s="78" t="s">
        <v>361</v>
      </c>
      <c r="AC10" s="78" t="s">
        <v>360</v>
      </c>
      <c r="AD10" s="1" t="s">
        <v>10</v>
      </c>
      <c r="AE10" s="1" t="s">
        <v>11</v>
      </c>
      <c r="AF10" s="1" t="s">
        <v>3</v>
      </c>
      <c r="AG10" s="1" t="s">
        <v>6</v>
      </c>
      <c r="AH10" s="1" t="s">
        <v>5</v>
      </c>
    </row>
    <row r="11" spans="1:34" x14ac:dyDescent="0.25">
      <c r="A11">
        <v>0</v>
      </c>
      <c r="B11" s="3">
        <f>-smart_meter_costs_low*B$3*1</f>
        <v>-2700000</v>
      </c>
      <c r="C11" s="80">
        <f t="shared" ref="C11:C25" si="1">savings_high*1000*D11</f>
        <v>665820.17318162078</v>
      </c>
      <c r="D11" s="77">
        <f>(1-EXP(-elasticity_high*LN(price_ratio)))*B$4*(A11-A$11+1)/(A$17-A$11+1)</f>
        <v>1.7463089040937538</v>
      </c>
      <c r="E11">
        <v>0</v>
      </c>
      <c r="F11" s="2">
        <f t="shared" ref="F11:F25" si="2">-yrly_opex_low*B$3</f>
        <v>-200000</v>
      </c>
      <c r="G11">
        <v>0</v>
      </c>
      <c r="H11" s="7">
        <f t="shared" ref="H11:H25" si="3">1/((1+discount_rate/100)^($A11+0.5))</f>
        <v>0.96225044864937614</v>
      </c>
      <c r="I11" s="3">
        <f t="shared" ref="I11:I25" si="4">H11*(B11+F11)</f>
        <v>-2790526.3010831908</v>
      </c>
      <c r="J11" s="12">
        <f t="shared" ref="J11:J25" si="5">H11*(C11+G11+E11)</f>
        <v>640685.76036381989</v>
      </c>
      <c r="K11">
        <v>640685.76036381978</v>
      </c>
      <c r="L11" s="18">
        <f>(B$4*(A11-A$11+1)/(A$17-A$11+1))/B$4</f>
        <v>0.14285714285714288</v>
      </c>
      <c r="M11">
        <v>0</v>
      </c>
      <c r="N11" s="3">
        <f>-smart_meter_costs_high*meters_by_region</f>
        <v>-8000000</v>
      </c>
      <c r="O11" s="80">
        <f t="shared" ref="O11:O25" si="6">savings_low*1000*P11</f>
        <v>203312.57774926102</v>
      </c>
      <c r="P11" s="77">
        <f t="shared" ref="P11:P17" si="7">(1-EXP(-elasticity_low*LN(price_ratio)))*N$4*(M11-M$11+1)/(M$17-M$11+1)</f>
        <v>0.74947632099728589</v>
      </c>
      <c r="Q11" s="77">
        <v>0</v>
      </c>
      <c r="R11" s="2">
        <f t="shared" ref="R11:R25" si="8">-yrly_opex_high*meters_by_region</f>
        <v>-300000</v>
      </c>
      <c r="S11">
        <v>0</v>
      </c>
      <c r="T11" s="7">
        <f t="shared" ref="T11:T25" si="9">1/((1+discount_rate/100)^($A11+0.5))</f>
        <v>0.96225044864937614</v>
      </c>
      <c r="U11" s="3">
        <f t="shared" ref="U11:U25" si="10">T11*(N11+R11)</f>
        <v>-7986678.7237898223</v>
      </c>
      <c r="V11" s="81">
        <f>T11*(O11+S11+Q11)</f>
        <v>195637.6191552876</v>
      </c>
      <c r="Y11">
        <v>0</v>
      </c>
      <c r="Z11" s="3">
        <f>-smart_meter_costs_medium*meters_by_region</f>
        <v>-5350000</v>
      </c>
      <c r="AA11" s="80">
        <f t="shared" ref="AA11:AA25" si="11">savings_medium*1000*AB11</f>
        <v>398861.16260070138</v>
      </c>
      <c r="AB11">
        <f t="shared" ref="AB11:AB17" si="12">(1-EXP(-elasticity_medium*LN(price_ratio)))*Z$4*(Y11-Y$11+1)/(Y$17-Y$11+1)</f>
        <v>1.222477329524956</v>
      </c>
      <c r="AC11" s="77">
        <v>0</v>
      </c>
      <c r="AD11" s="2">
        <f t="shared" ref="AD11:AD25" si="13">-yrly_opex_medium*meters_by_region</f>
        <v>-250000</v>
      </c>
      <c r="AE11">
        <v>0</v>
      </c>
      <c r="AF11" s="7">
        <f t="shared" ref="AF11:AF25" si="14">1/((1+discount_rate/100)^($A11+0.5))</f>
        <v>0.96225044864937614</v>
      </c>
      <c r="AG11" s="3">
        <f t="shared" ref="AG11:AG25" si="15">AF11*(Z11+AD11)</f>
        <v>-5388602.5124365063</v>
      </c>
      <c r="AH11" s="12">
        <f>AF11*(AA11+AE11+AC11)</f>
        <v>383804.3326613367</v>
      </c>
    </row>
    <row r="12" spans="1:34" x14ac:dyDescent="0.25">
      <c r="A12">
        <v>1</v>
      </c>
      <c r="B12" s="80">
        <f>-smart_meter_costs_low*B$3*0</f>
        <v>0</v>
      </c>
      <c r="C12" s="80">
        <v>0</v>
      </c>
      <c r="D12" s="77">
        <f t="shared" ref="D12:D17" si="16">(1-EXP(-elasticity_high*LN(price_ratio)))*B$4*(A12-A$11+1)/(A$17-A$11+1)</f>
        <v>3.4926178081875077</v>
      </c>
      <c r="E12" s="77">
        <f>SRMC_option*deferral_multiplier*D12</f>
        <v>25000000</v>
      </c>
      <c r="F12" s="2">
        <f t="shared" si="2"/>
        <v>-200000</v>
      </c>
      <c r="G12">
        <v>0</v>
      </c>
      <c r="H12" s="7">
        <f t="shared" si="3"/>
        <v>0.89097263763831136</v>
      </c>
      <c r="I12" s="3">
        <f t="shared" si="4"/>
        <v>-178194.52752766229</v>
      </c>
      <c r="J12" s="12">
        <f>H12*(C12+G12+E12)</f>
        <v>22274315.940957785</v>
      </c>
      <c r="K12">
        <v>10770881.966320805</v>
      </c>
      <c r="L12" s="18">
        <f t="shared" ref="L12:L17" si="17">(B$4*(A12-A$11+1)/(A$17-A$11+1))/B$4</f>
        <v>0.28571428571428575</v>
      </c>
      <c r="M12">
        <v>1</v>
      </c>
      <c r="N12" s="3">
        <v>0</v>
      </c>
      <c r="O12" s="80">
        <v>0</v>
      </c>
      <c r="P12" s="77">
        <f t="shared" si="7"/>
        <v>1.4989526419945718</v>
      </c>
      <c r="Q12" s="80">
        <f>deferral_multiplier*P12</f>
        <v>10729435.08505768</v>
      </c>
      <c r="R12" s="2">
        <f t="shared" si="8"/>
        <v>-300000</v>
      </c>
      <c r="S12">
        <v>0</v>
      </c>
      <c r="T12" s="7">
        <f t="shared" si="9"/>
        <v>0.89097263763831136</v>
      </c>
      <c r="U12" s="3">
        <f t="shared" si="10"/>
        <v>-267291.7912914934</v>
      </c>
      <c r="V12" s="81">
        <f t="shared" ref="V12:V25" si="18">T12*(O12+S12+Q12)</f>
        <v>9559633.0781028811</v>
      </c>
      <c r="Y12">
        <v>1</v>
      </c>
      <c r="Z12" s="3">
        <v>0</v>
      </c>
      <c r="AA12" s="80">
        <v>0</v>
      </c>
      <c r="AB12" s="77">
        <f t="shared" si="12"/>
        <v>2.444954659049912</v>
      </c>
      <c r="AC12" s="80">
        <f>AB12*deferral_multiplier</f>
        <v>17500874.654237647</v>
      </c>
      <c r="AD12" s="2">
        <f t="shared" si="13"/>
        <v>-250000</v>
      </c>
      <c r="AE12">
        <v>0</v>
      </c>
      <c r="AF12" s="7">
        <f t="shared" si="14"/>
        <v>0.89097263763831136</v>
      </c>
      <c r="AG12" s="3">
        <f t="shared" si="15"/>
        <v>-222743.15940957784</v>
      </c>
      <c r="AH12" s="12">
        <f t="shared" ref="AH12:AH25" si="19">AF12*(AA12+AE12+AC12)</f>
        <v>15592800.451663587</v>
      </c>
    </row>
    <row r="13" spans="1:34" x14ac:dyDescent="0.25">
      <c r="A13">
        <v>2</v>
      </c>
      <c r="B13" s="3">
        <v>0</v>
      </c>
      <c r="C13" s="80">
        <f t="shared" si="1"/>
        <v>1997460.5195448624</v>
      </c>
      <c r="D13" s="77">
        <f t="shared" si="16"/>
        <v>5.2389267122812617</v>
      </c>
      <c r="E13">
        <f>(SRMC_option*-E12)</f>
        <v>-25000000</v>
      </c>
      <c r="F13" s="2">
        <f t="shared" si="2"/>
        <v>-200000</v>
      </c>
      <c r="G13" s="2">
        <f t="shared" ref="G13:G25" si="20">business_eff_high*B$3</f>
        <v>650000</v>
      </c>
      <c r="H13" s="7">
        <f t="shared" si="3"/>
        <v>0.82497466447991774</v>
      </c>
      <c r="I13" s="3">
        <f t="shared" si="4"/>
        <v>-164994.93289598354</v>
      </c>
      <c r="J13" s="12">
        <f t="shared" si="5"/>
        <v>-18440278.758162592</v>
      </c>
      <c r="K13">
        <v>2184087.8538353513</v>
      </c>
      <c r="L13" s="18">
        <f t="shared" si="17"/>
        <v>0.42857142857142855</v>
      </c>
      <c r="M13">
        <v>2</v>
      </c>
      <c r="N13" s="3">
        <v>0</v>
      </c>
      <c r="O13" s="80">
        <f t="shared" si="6"/>
        <v>609937.73324778315</v>
      </c>
      <c r="P13" s="77">
        <f t="shared" si="7"/>
        <v>2.2484289629918579</v>
      </c>
      <c r="Q13" s="80">
        <f>SRMC_option*-Q12</f>
        <v>-10729435.08505768</v>
      </c>
      <c r="R13" s="2">
        <f t="shared" si="8"/>
        <v>-300000</v>
      </c>
      <c r="S13" s="2">
        <f t="shared" ref="S13:S25" si="21">business_eff_low*meters_by_region</f>
        <v>500000</v>
      </c>
      <c r="T13" s="7">
        <f t="shared" si="9"/>
        <v>0.82497466447991774</v>
      </c>
      <c r="U13" s="3">
        <f t="shared" si="10"/>
        <v>-247492.39934397532</v>
      </c>
      <c r="V13" s="81">
        <f t="shared" si="18"/>
        <v>-7935841.6002748264</v>
      </c>
      <c r="Y13">
        <v>2</v>
      </c>
      <c r="Z13" s="3">
        <v>0</v>
      </c>
      <c r="AA13" s="80">
        <f t="shared" si="11"/>
        <v>1196583.4878021041</v>
      </c>
      <c r="AB13" s="77">
        <f t="shared" si="12"/>
        <v>3.6674319885748679</v>
      </c>
      <c r="AC13" s="80">
        <f>SRMC_option*-AC12</f>
        <v>-17500874.654237647</v>
      </c>
      <c r="AD13" s="2">
        <f t="shared" si="13"/>
        <v>-250000</v>
      </c>
      <c r="AE13" s="2">
        <f t="shared" ref="AE13:AE25" si="22">business_eff_medium*meters_by_region</f>
        <v>575000</v>
      </c>
      <c r="AF13" s="7">
        <f t="shared" si="14"/>
        <v>0.82497466447991774</v>
      </c>
      <c r="AG13" s="3">
        <f t="shared" si="15"/>
        <v>-206243.66611997943</v>
      </c>
      <c r="AH13" s="12">
        <f t="shared" si="19"/>
        <v>-12976266.702537097</v>
      </c>
    </row>
    <row r="14" spans="1:34" ht="15" customHeight="1" x14ac:dyDescent="0.25">
      <c r="A14">
        <v>3</v>
      </c>
      <c r="B14" s="3">
        <v>0</v>
      </c>
      <c r="C14" s="80">
        <f t="shared" si="1"/>
        <v>2663280.6927264831</v>
      </c>
      <c r="D14" s="77">
        <f t="shared" si="16"/>
        <v>6.9852356163750153</v>
      </c>
      <c r="E14">
        <v>0</v>
      </c>
      <c r="F14" s="2">
        <f t="shared" si="2"/>
        <v>-200000</v>
      </c>
      <c r="G14" s="2">
        <f t="shared" si="20"/>
        <v>650000</v>
      </c>
      <c r="H14" s="7">
        <f t="shared" si="3"/>
        <v>0.76386543007399788</v>
      </c>
      <c r="I14" s="3">
        <f t="shared" si="4"/>
        <v>-152773.08601479957</v>
      </c>
      <c r="J14" s="12">
        <f t="shared" si="5"/>
        <v>2530900.5813053888</v>
      </c>
      <c r="K14">
        <v>2530900.5813053884</v>
      </c>
      <c r="L14" s="18">
        <f t="shared" si="17"/>
        <v>0.57142857142857151</v>
      </c>
      <c r="M14">
        <v>3</v>
      </c>
      <c r="N14" s="3">
        <v>0</v>
      </c>
      <c r="O14" s="80">
        <f t="shared" si="6"/>
        <v>813250.31099704409</v>
      </c>
      <c r="P14" s="77">
        <f t="shared" si="7"/>
        <v>2.9979052839891436</v>
      </c>
      <c r="Q14" s="77">
        <v>0</v>
      </c>
      <c r="R14" s="2">
        <f t="shared" si="8"/>
        <v>-300000</v>
      </c>
      <c r="S14" s="2">
        <f t="shared" si="21"/>
        <v>500000</v>
      </c>
      <c r="T14" s="7">
        <f t="shared" si="9"/>
        <v>0.76386543007399788</v>
      </c>
      <c r="U14" s="3">
        <f t="shared" si="10"/>
        <v>-229159.62902219937</v>
      </c>
      <c r="V14" s="81">
        <f t="shared" si="18"/>
        <v>1003146.5136045687</v>
      </c>
      <c r="Y14">
        <v>3</v>
      </c>
      <c r="Z14" s="3">
        <v>0</v>
      </c>
      <c r="AA14" s="80">
        <f t="shared" si="11"/>
        <v>1595444.6504028055</v>
      </c>
      <c r="AB14" s="77">
        <f t="shared" si="12"/>
        <v>4.8899093180998241</v>
      </c>
      <c r="AC14" s="77">
        <v>0</v>
      </c>
      <c r="AD14" s="2">
        <f t="shared" si="13"/>
        <v>-250000</v>
      </c>
      <c r="AE14" s="2">
        <f t="shared" si="22"/>
        <v>575000</v>
      </c>
      <c r="AF14" s="7">
        <f t="shared" si="14"/>
        <v>0.76386543007399788</v>
      </c>
      <c r="AG14" s="3">
        <f t="shared" si="15"/>
        <v>-190966.35751849946</v>
      </c>
      <c r="AH14" s="12">
        <f t="shared" si="19"/>
        <v>1657927.6363317473</v>
      </c>
    </row>
    <row r="15" spans="1:34" x14ac:dyDescent="0.25">
      <c r="A15">
        <v>4</v>
      </c>
      <c r="B15" s="3">
        <v>0</v>
      </c>
      <c r="C15" s="80">
        <f t="shared" si="1"/>
        <v>3329100.865908104</v>
      </c>
      <c r="D15" s="77">
        <f t="shared" si="16"/>
        <v>8.7315445204687698</v>
      </c>
      <c r="E15" s="77">
        <v>0</v>
      </c>
      <c r="F15" s="2">
        <f t="shared" si="2"/>
        <v>-200000</v>
      </c>
      <c r="G15" s="2">
        <f t="shared" si="20"/>
        <v>650000</v>
      </c>
      <c r="H15" s="7">
        <f t="shared" si="3"/>
        <v>0.70728280562407209</v>
      </c>
      <c r="I15" s="3">
        <f t="shared" si="4"/>
        <v>-141456.56112481441</v>
      </c>
      <c r="J15" s="12">
        <f t="shared" si="5"/>
        <v>2814349.6243006582</v>
      </c>
      <c r="K15">
        <v>2814349.6243006582</v>
      </c>
      <c r="L15" s="18">
        <f t="shared" si="17"/>
        <v>0.7142857142857143</v>
      </c>
      <c r="M15">
        <v>4</v>
      </c>
      <c r="N15" s="3">
        <v>0</v>
      </c>
      <c r="O15" s="80">
        <f t="shared" si="6"/>
        <v>1016562.888746305</v>
      </c>
      <c r="P15" s="77">
        <f t="shared" si="7"/>
        <v>3.7473816049864292</v>
      </c>
      <c r="Q15" s="77">
        <v>0</v>
      </c>
      <c r="R15" s="2">
        <f t="shared" si="8"/>
        <v>-300000</v>
      </c>
      <c r="S15" s="2">
        <f t="shared" si="21"/>
        <v>500000</v>
      </c>
      <c r="T15" s="7">
        <f t="shared" si="9"/>
        <v>0.70728280562407209</v>
      </c>
      <c r="U15" s="3">
        <f t="shared" si="10"/>
        <v>-212184.84168722163</v>
      </c>
      <c r="V15" s="81">
        <f t="shared" si="18"/>
        <v>1072638.8548578341</v>
      </c>
      <c r="Y15">
        <v>4</v>
      </c>
      <c r="Z15" s="3">
        <v>0</v>
      </c>
      <c r="AA15" s="80">
        <f t="shared" si="11"/>
        <v>1994305.813003507</v>
      </c>
      <c r="AB15" s="77">
        <f t="shared" si="12"/>
        <v>6.1123866476247803</v>
      </c>
      <c r="AD15" s="2">
        <f t="shared" si="13"/>
        <v>-250000</v>
      </c>
      <c r="AE15" s="2">
        <f t="shared" si="22"/>
        <v>575000</v>
      </c>
      <c r="AF15" s="7">
        <f t="shared" si="14"/>
        <v>0.70728280562407209</v>
      </c>
      <c r="AG15" s="3">
        <f t="shared" si="15"/>
        <v>-176820.70140601802</v>
      </c>
      <c r="AH15" s="12">
        <f t="shared" si="19"/>
        <v>1817225.823927358</v>
      </c>
    </row>
    <row r="16" spans="1:34" x14ac:dyDescent="0.25">
      <c r="A16">
        <v>5</v>
      </c>
      <c r="B16" s="3">
        <v>0</v>
      </c>
      <c r="C16" s="80">
        <f t="shared" si="1"/>
        <v>3994921.0390897249</v>
      </c>
      <c r="D16" s="77">
        <f t="shared" si="16"/>
        <v>10.477853424562523</v>
      </c>
      <c r="E16" s="77">
        <v>0</v>
      </c>
      <c r="F16" s="2">
        <f t="shared" si="2"/>
        <v>-200000</v>
      </c>
      <c r="G16" s="2">
        <f t="shared" si="20"/>
        <v>650000</v>
      </c>
      <c r="H16" s="7">
        <f t="shared" si="3"/>
        <v>0.65489148668895558</v>
      </c>
      <c r="I16" s="3">
        <f t="shared" si="4"/>
        <v>-130978.29733779111</v>
      </c>
      <c r="J16" s="12">
        <f t="shared" si="5"/>
        <v>3041919.2448422778</v>
      </c>
      <c r="K16">
        <v>3041919.2448422778</v>
      </c>
      <c r="L16" s="18">
        <f t="shared" si="17"/>
        <v>0.8571428571428571</v>
      </c>
      <c r="M16">
        <v>5</v>
      </c>
      <c r="N16" s="3">
        <v>0</v>
      </c>
      <c r="O16" s="80">
        <f t="shared" si="6"/>
        <v>1219875.4664955663</v>
      </c>
      <c r="P16" s="77">
        <f t="shared" si="7"/>
        <v>4.4968579259837158</v>
      </c>
      <c r="Q16" s="77">
        <v>0</v>
      </c>
      <c r="R16" s="2">
        <f t="shared" si="8"/>
        <v>-300000</v>
      </c>
      <c r="S16" s="2">
        <f t="shared" si="21"/>
        <v>500000</v>
      </c>
      <c r="T16" s="7">
        <f t="shared" si="9"/>
        <v>0.65489148668895558</v>
      </c>
      <c r="U16" s="3">
        <f t="shared" si="10"/>
        <v>-196467.44600668669</v>
      </c>
      <c r="V16" s="81">
        <f t="shared" si="18"/>
        <v>1126331.8011731424</v>
      </c>
      <c r="Y16">
        <v>5</v>
      </c>
      <c r="Z16" s="3">
        <v>0</v>
      </c>
      <c r="AA16" s="80">
        <f t="shared" si="11"/>
        <v>2393166.9756042082</v>
      </c>
      <c r="AB16" s="77">
        <f t="shared" si="12"/>
        <v>7.3348639771497357</v>
      </c>
      <c r="AD16" s="2">
        <f t="shared" si="13"/>
        <v>-250000</v>
      </c>
      <c r="AE16" s="2">
        <f t="shared" si="22"/>
        <v>575000</v>
      </c>
      <c r="AF16" s="7">
        <f t="shared" si="14"/>
        <v>0.65489148668895558</v>
      </c>
      <c r="AG16" s="3">
        <f t="shared" si="15"/>
        <v>-163722.87167223889</v>
      </c>
      <c r="AH16" s="12">
        <f t="shared" si="19"/>
        <v>1943827.2833945008</v>
      </c>
    </row>
    <row r="17" spans="1:34" x14ac:dyDescent="0.25">
      <c r="A17">
        <v>6</v>
      </c>
      <c r="B17" s="3">
        <v>0</v>
      </c>
      <c r="C17" s="80">
        <f t="shared" si="1"/>
        <v>4660741.2122713458</v>
      </c>
      <c r="D17" s="77">
        <f t="shared" si="16"/>
        <v>12.224162328656277</v>
      </c>
      <c r="E17" s="77">
        <v>0</v>
      </c>
      <c r="F17" s="2">
        <f t="shared" si="2"/>
        <v>-200000</v>
      </c>
      <c r="G17" s="2">
        <f t="shared" si="20"/>
        <v>650000</v>
      </c>
      <c r="H17" s="7">
        <f t="shared" si="3"/>
        <v>0.60638100619347735</v>
      </c>
      <c r="I17" s="3">
        <f t="shared" si="4"/>
        <v>-121276.20123869547</v>
      </c>
      <c r="J17" s="12">
        <f t="shared" si="5"/>
        <v>3220332.5999302664</v>
      </c>
      <c r="K17">
        <v>3220332.5999302659</v>
      </c>
      <c r="L17" s="18">
        <f t="shared" si="17"/>
        <v>1</v>
      </c>
      <c r="M17">
        <v>6</v>
      </c>
      <c r="N17" s="3">
        <v>0</v>
      </c>
      <c r="O17" s="80">
        <f t="shared" si="6"/>
        <v>1423188.044244827</v>
      </c>
      <c r="P17" s="77">
        <f t="shared" si="7"/>
        <v>5.246334246981001</v>
      </c>
      <c r="Q17" s="77">
        <v>0</v>
      </c>
      <c r="R17" s="2">
        <f t="shared" si="8"/>
        <v>-300000</v>
      </c>
      <c r="S17" s="2">
        <f t="shared" si="21"/>
        <v>500000</v>
      </c>
      <c r="T17" s="7">
        <f t="shared" si="9"/>
        <v>0.60638100619347735</v>
      </c>
      <c r="U17" s="3">
        <f t="shared" si="10"/>
        <v>-181914.30185804321</v>
      </c>
      <c r="V17" s="81">
        <f t="shared" si="18"/>
        <v>1166184.7013684441</v>
      </c>
      <c r="Y17">
        <v>6</v>
      </c>
      <c r="Z17" s="3">
        <v>0</v>
      </c>
      <c r="AA17" s="80">
        <f t="shared" si="11"/>
        <v>2792028.1382049094</v>
      </c>
      <c r="AB17" s="77">
        <f t="shared" si="12"/>
        <v>8.5573413066746919</v>
      </c>
      <c r="AD17" s="2">
        <f t="shared" si="13"/>
        <v>-250000</v>
      </c>
      <c r="AE17" s="2">
        <f t="shared" si="22"/>
        <v>575000</v>
      </c>
      <c r="AF17" s="7">
        <f t="shared" si="14"/>
        <v>0.60638100619347735</v>
      </c>
      <c r="AG17" s="3">
        <f t="shared" si="15"/>
        <v>-151595.25154836933</v>
      </c>
      <c r="AH17" s="12">
        <f t="shared" si="19"/>
        <v>2041701.9103264436</v>
      </c>
    </row>
    <row r="18" spans="1:34" x14ac:dyDescent="0.25">
      <c r="A18">
        <v>7</v>
      </c>
      <c r="B18" s="3">
        <f>-'Assumption parameters'!$B$10*B3</f>
        <v>-1000000</v>
      </c>
      <c r="C18" s="80">
        <f t="shared" si="1"/>
        <v>4660741.2122713458</v>
      </c>
      <c r="D18">
        <f>D17</f>
        <v>12.224162328656277</v>
      </c>
      <c r="E18" s="77">
        <v>0</v>
      </c>
      <c r="F18" s="2">
        <f t="shared" si="2"/>
        <v>-200000</v>
      </c>
      <c r="G18" s="2">
        <f t="shared" si="20"/>
        <v>650000</v>
      </c>
      <c r="H18" s="7">
        <f t="shared" si="3"/>
        <v>0.56146389462359003</v>
      </c>
      <c r="I18" s="3">
        <f t="shared" si="4"/>
        <v>-673756.67354830808</v>
      </c>
      <c r="J18" s="12">
        <f t="shared" si="5"/>
        <v>2981789.4443798754</v>
      </c>
      <c r="K18">
        <v>2981789.444379875</v>
      </c>
      <c r="L18" s="18">
        <f>L17</f>
        <v>1</v>
      </c>
      <c r="M18">
        <v>7</v>
      </c>
      <c r="N18" s="3">
        <f>-IT_update_high*meters_by_region</f>
        <v>-1500000</v>
      </c>
      <c r="O18" s="80">
        <f t="shared" si="6"/>
        <v>1423188.044244827</v>
      </c>
      <c r="P18" s="77">
        <f>P17</f>
        <v>5.246334246981001</v>
      </c>
      <c r="Q18" s="77">
        <v>0</v>
      </c>
      <c r="R18" s="2">
        <f t="shared" si="8"/>
        <v>-300000</v>
      </c>
      <c r="S18" s="2">
        <f t="shared" si="21"/>
        <v>500000</v>
      </c>
      <c r="T18" s="7">
        <f t="shared" si="9"/>
        <v>0.56146389462359003</v>
      </c>
      <c r="U18" s="3">
        <f t="shared" si="10"/>
        <v>-1010635.0103224621</v>
      </c>
      <c r="V18" s="81">
        <f t="shared" si="18"/>
        <v>1079800.6494152257</v>
      </c>
      <c r="Y18">
        <v>7</v>
      </c>
      <c r="Z18" s="3">
        <f>-IT_update_medium*meters_by_region</f>
        <v>-1250000</v>
      </c>
      <c r="AA18" s="80">
        <f t="shared" si="11"/>
        <v>2792028.1382049094</v>
      </c>
      <c r="AB18" s="77">
        <f>AB17</f>
        <v>8.5573413066746919</v>
      </c>
      <c r="AD18" s="2">
        <f t="shared" si="13"/>
        <v>-250000</v>
      </c>
      <c r="AE18" s="2">
        <f t="shared" si="22"/>
        <v>575000</v>
      </c>
      <c r="AF18" s="7">
        <f t="shared" si="14"/>
        <v>0.56146389462359003</v>
      </c>
      <c r="AG18" s="3">
        <f t="shared" si="15"/>
        <v>-842195.84193538502</v>
      </c>
      <c r="AH18" s="12">
        <f t="shared" si="19"/>
        <v>1890464.7317837437</v>
      </c>
    </row>
    <row r="19" spans="1:34" x14ac:dyDescent="0.25">
      <c r="A19">
        <v>8</v>
      </c>
      <c r="B19" s="3">
        <v>0</v>
      </c>
      <c r="C19" s="80">
        <f t="shared" si="1"/>
        <v>4660741.2122713458</v>
      </c>
      <c r="D19" s="77">
        <f t="shared" ref="D19:D25" si="23">D18</f>
        <v>12.224162328656277</v>
      </c>
      <c r="E19" s="77">
        <v>0</v>
      </c>
      <c r="F19" s="2">
        <f t="shared" si="2"/>
        <v>-200000</v>
      </c>
      <c r="G19" s="2">
        <f t="shared" si="20"/>
        <v>650000</v>
      </c>
      <c r="H19" s="7">
        <f t="shared" si="3"/>
        <v>0.51987397650332412</v>
      </c>
      <c r="I19" s="3">
        <f t="shared" si="4"/>
        <v>-103974.79530066482</v>
      </c>
      <c r="J19" s="12">
        <f t="shared" si="5"/>
        <v>2760916.1522035887</v>
      </c>
      <c r="K19">
        <v>2760916.1522035883</v>
      </c>
      <c r="L19" s="18">
        <f t="shared" ref="L19:L25" si="24">L18</f>
        <v>1</v>
      </c>
      <c r="M19">
        <v>8</v>
      </c>
      <c r="N19" s="3">
        <v>0</v>
      </c>
      <c r="O19" s="80">
        <f t="shared" si="6"/>
        <v>1423188.044244827</v>
      </c>
      <c r="P19" s="77">
        <f t="shared" ref="P19:P25" si="25">P18</f>
        <v>5.246334246981001</v>
      </c>
      <c r="Q19" s="77">
        <v>0</v>
      </c>
      <c r="R19" s="2">
        <f t="shared" si="8"/>
        <v>-300000</v>
      </c>
      <c r="S19" s="2">
        <f t="shared" si="21"/>
        <v>500000</v>
      </c>
      <c r="T19" s="7">
        <f t="shared" si="9"/>
        <v>0.51987397650332412</v>
      </c>
      <c r="U19" s="3">
        <f t="shared" si="10"/>
        <v>-155962.19295099724</v>
      </c>
      <c r="V19" s="81">
        <f t="shared" si="18"/>
        <v>999815.41612520907</v>
      </c>
      <c r="Y19">
        <v>8</v>
      </c>
      <c r="Z19" s="3">
        <v>0</v>
      </c>
      <c r="AA19" s="80">
        <f t="shared" si="11"/>
        <v>2792028.1382049094</v>
      </c>
      <c r="AB19" s="77">
        <f t="shared" ref="AB19:AB25" si="26">AB18</f>
        <v>8.5573413066746919</v>
      </c>
      <c r="AD19" s="2">
        <f t="shared" si="13"/>
        <v>-250000</v>
      </c>
      <c r="AE19" s="2">
        <f t="shared" si="22"/>
        <v>575000</v>
      </c>
      <c r="AF19" s="7">
        <f t="shared" si="14"/>
        <v>0.51987397650332412</v>
      </c>
      <c r="AG19" s="3">
        <f t="shared" si="15"/>
        <v>-129968.49412583103</v>
      </c>
      <c r="AH19" s="12">
        <f t="shared" si="19"/>
        <v>1750430.3072071702</v>
      </c>
    </row>
    <row r="20" spans="1:34" x14ac:dyDescent="0.25">
      <c r="A20">
        <v>9</v>
      </c>
      <c r="B20" s="3">
        <v>0</v>
      </c>
      <c r="C20" s="80">
        <f t="shared" si="1"/>
        <v>4660741.2122713458</v>
      </c>
      <c r="D20" s="77">
        <f t="shared" si="23"/>
        <v>12.224162328656277</v>
      </c>
      <c r="E20" s="77">
        <v>0</v>
      </c>
      <c r="F20" s="2">
        <f t="shared" si="2"/>
        <v>-200000</v>
      </c>
      <c r="G20" s="2">
        <f t="shared" si="20"/>
        <v>650000</v>
      </c>
      <c r="H20" s="7">
        <f t="shared" si="3"/>
        <v>0.48136479305863344</v>
      </c>
      <c r="I20" s="3">
        <f t="shared" si="4"/>
        <v>-96272.958611726688</v>
      </c>
      <c r="J20" s="12">
        <f t="shared" si="5"/>
        <v>2556403.8446329525</v>
      </c>
      <c r="K20">
        <v>2556403.844632952</v>
      </c>
      <c r="L20" s="18">
        <f t="shared" si="24"/>
        <v>1</v>
      </c>
      <c r="M20">
        <v>9</v>
      </c>
      <c r="N20" s="3">
        <v>0</v>
      </c>
      <c r="O20" s="80">
        <f t="shared" si="6"/>
        <v>1423188.044244827</v>
      </c>
      <c r="P20" s="77">
        <f t="shared" si="25"/>
        <v>5.246334246981001</v>
      </c>
      <c r="Q20" s="77">
        <v>0</v>
      </c>
      <c r="R20" s="2">
        <f t="shared" si="8"/>
        <v>-300000</v>
      </c>
      <c r="S20" s="2">
        <f t="shared" si="21"/>
        <v>500000</v>
      </c>
      <c r="T20" s="7">
        <f t="shared" si="9"/>
        <v>0.48136479305863344</v>
      </c>
      <c r="U20" s="3">
        <f t="shared" si="10"/>
        <v>-144409.43791759002</v>
      </c>
      <c r="V20" s="81">
        <f t="shared" si="18"/>
        <v>925755.01493074908</v>
      </c>
      <c r="Y20">
        <v>9</v>
      </c>
      <c r="Z20" s="3">
        <v>0</v>
      </c>
      <c r="AA20" s="80">
        <f t="shared" si="11"/>
        <v>2792028.1382049094</v>
      </c>
      <c r="AB20" s="77">
        <f t="shared" si="26"/>
        <v>8.5573413066746919</v>
      </c>
      <c r="AD20" s="2">
        <f t="shared" si="13"/>
        <v>-250000</v>
      </c>
      <c r="AE20" s="2">
        <f t="shared" si="22"/>
        <v>575000</v>
      </c>
      <c r="AF20" s="7">
        <f t="shared" si="14"/>
        <v>0.48136479305863344</v>
      </c>
      <c r="AG20" s="3">
        <f t="shared" si="15"/>
        <v>-120341.19826465836</v>
      </c>
      <c r="AH20" s="12">
        <f t="shared" si="19"/>
        <v>1620768.8029696022</v>
      </c>
    </row>
    <row r="21" spans="1:34" x14ac:dyDescent="0.25">
      <c r="A21">
        <v>10</v>
      </c>
      <c r="B21" s="3">
        <v>0</v>
      </c>
      <c r="C21" s="80">
        <f t="shared" si="1"/>
        <v>4660741.2122713458</v>
      </c>
      <c r="D21" s="77">
        <f t="shared" si="23"/>
        <v>12.224162328656277</v>
      </c>
      <c r="E21" s="77">
        <v>0</v>
      </c>
      <c r="F21" s="2">
        <f t="shared" si="2"/>
        <v>-200000</v>
      </c>
      <c r="G21" s="2">
        <f t="shared" si="20"/>
        <v>650000</v>
      </c>
      <c r="H21" s="7">
        <f t="shared" si="3"/>
        <v>0.44570814172095685</v>
      </c>
      <c r="I21" s="3">
        <f t="shared" si="4"/>
        <v>-89141.628344191369</v>
      </c>
      <c r="J21" s="12">
        <f t="shared" si="5"/>
        <v>2367040.5968823633</v>
      </c>
      <c r="K21">
        <v>2367040.5968823629</v>
      </c>
      <c r="L21" s="18">
        <f t="shared" si="24"/>
        <v>1</v>
      </c>
      <c r="M21">
        <v>10</v>
      </c>
      <c r="N21" s="3">
        <v>0</v>
      </c>
      <c r="O21" s="80">
        <f t="shared" si="6"/>
        <v>1423188.044244827</v>
      </c>
      <c r="P21" s="77">
        <f t="shared" si="25"/>
        <v>5.246334246981001</v>
      </c>
      <c r="Q21" s="77">
        <v>0</v>
      </c>
      <c r="R21" s="2">
        <f t="shared" si="8"/>
        <v>-300000</v>
      </c>
      <c r="S21" s="2">
        <f t="shared" si="21"/>
        <v>500000</v>
      </c>
      <c r="T21" s="7">
        <f t="shared" si="9"/>
        <v>0.44570814172095685</v>
      </c>
      <c r="U21" s="3">
        <f t="shared" si="10"/>
        <v>-133712.44251628706</v>
      </c>
      <c r="V21" s="81">
        <f t="shared" si="18"/>
        <v>857180.56938032317</v>
      </c>
      <c r="Y21">
        <v>10</v>
      </c>
      <c r="Z21" s="3">
        <v>0</v>
      </c>
      <c r="AA21" s="80">
        <f t="shared" si="11"/>
        <v>2792028.1382049094</v>
      </c>
      <c r="AB21" s="77">
        <f t="shared" si="26"/>
        <v>8.5573413066746919</v>
      </c>
      <c r="AD21" s="2">
        <f t="shared" si="13"/>
        <v>-250000</v>
      </c>
      <c r="AE21" s="2">
        <f t="shared" si="22"/>
        <v>575000</v>
      </c>
      <c r="AF21" s="7">
        <f t="shared" si="14"/>
        <v>0.44570814172095685</v>
      </c>
      <c r="AG21" s="3">
        <f t="shared" si="15"/>
        <v>-111427.03543023921</v>
      </c>
      <c r="AH21" s="12">
        <f t="shared" si="19"/>
        <v>1500711.8546014833</v>
      </c>
    </row>
    <row r="22" spans="1:34" x14ac:dyDescent="0.25">
      <c r="A22">
        <v>11</v>
      </c>
      <c r="B22" s="3">
        <v>0</v>
      </c>
      <c r="C22" s="80">
        <f t="shared" si="1"/>
        <v>4660741.2122713458</v>
      </c>
      <c r="D22" s="77">
        <f t="shared" si="23"/>
        <v>12.224162328656277</v>
      </c>
      <c r="E22" s="77">
        <v>0</v>
      </c>
      <c r="F22" s="2">
        <f t="shared" si="2"/>
        <v>-200000</v>
      </c>
      <c r="G22" s="2">
        <f t="shared" si="20"/>
        <v>650000</v>
      </c>
      <c r="H22" s="7">
        <f t="shared" si="3"/>
        <v>0.41269272381570077</v>
      </c>
      <c r="I22" s="3">
        <f t="shared" si="4"/>
        <v>-82538.544763140148</v>
      </c>
      <c r="J22" s="12">
        <f t="shared" si="5"/>
        <v>2191704.2563725584</v>
      </c>
      <c r="K22">
        <v>2191704.256372558</v>
      </c>
      <c r="L22" s="18">
        <f t="shared" si="24"/>
        <v>1</v>
      </c>
      <c r="M22">
        <v>11</v>
      </c>
      <c r="N22" s="3">
        <v>0</v>
      </c>
      <c r="O22" s="80">
        <f t="shared" si="6"/>
        <v>1423188.044244827</v>
      </c>
      <c r="P22" s="77">
        <f t="shared" si="25"/>
        <v>5.246334246981001</v>
      </c>
      <c r="Q22" s="77">
        <v>0</v>
      </c>
      <c r="R22" s="2">
        <f t="shared" si="8"/>
        <v>-300000</v>
      </c>
      <c r="S22" s="2">
        <f t="shared" si="21"/>
        <v>500000</v>
      </c>
      <c r="T22" s="7">
        <f t="shared" si="9"/>
        <v>0.41269272381570077</v>
      </c>
      <c r="U22" s="3">
        <f t="shared" si="10"/>
        <v>-123807.81714471024</v>
      </c>
      <c r="V22" s="81">
        <f t="shared" si="18"/>
        <v>793685.71238918812</v>
      </c>
      <c r="Y22">
        <v>11</v>
      </c>
      <c r="Z22" s="3">
        <v>0</v>
      </c>
      <c r="AA22" s="80">
        <f t="shared" si="11"/>
        <v>2792028.1382049094</v>
      </c>
      <c r="AB22" s="77">
        <f t="shared" si="26"/>
        <v>8.5573413066746919</v>
      </c>
      <c r="AD22" s="2">
        <f t="shared" si="13"/>
        <v>-250000</v>
      </c>
      <c r="AE22" s="2">
        <f t="shared" si="22"/>
        <v>575000</v>
      </c>
      <c r="AF22" s="7">
        <f t="shared" si="14"/>
        <v>0.41269272381570077</v>
      </c>
      <c r="AG22" s="3">
        <f t="shared" si="15"/>
        <v>-103173.1809539252</v>
      </c>
      <c r="AH22" s="12">
        <f t="shared" si="19"/>
        <v>1389548.0135198918</v>
      </c>
    </row>
    <row r="23" spans="1:34" x14ac:dyDescent="0.25">
      <c r="A23">
        <v>12</v>
      </c>
      <c r="B23" s="3">
        <v>0</v>
      </c>
      <c r="C23" s="80">
        <f t="shared" si="1"/>
        <v>4660741.2122713458</v>
      </c>
      <c r="D23" s="77">
        <f t="shared" si="23"/>
        <v>12.224162328656277</v>
      </c>
      <c r="E23" s="77">
        <v>0</v>
      </c>
      <c r="F23" s="2">
        <f t="shared" si="2"/>
        <v>-200000</v>
      </c>
      <c r="G23" s="2">
        <f t="shared" si="20"/>
        <v>650000</v>
      </c>
      <c r="H23" s="7">
        <f t="shared" si="3"/>
        <v>0.38212289242194514</v>
      </c>
      <c r="I23" s="3">
        <f t="shared" si="4"/>
        <v>-76424.578484389029</v>
      </c>
      <c r="J23" s="12">
        <f t="shared" si="5"/>
        <v>2029355.792937554</v>
      </c>
      <c r="K23">
        <v>2029355.7929375537</v>
      </c>
      <c r="L23" s="18">
        <f t="shared" si="24"/>
        <v>1</v>
      </c>
      <c r="M23">
        <v>12</v>
      </c>
      <c r="N23" s="3">
        <v>0</v>
      </c>
      <c r="O23" s="80">
        <f t="shared" si="6"/>
        <v>1423188.044244827</v>
      </c>
      <c r="P23" s="77">
        <f t="shared" si="25"/>
        <v>5.246334246981001</v>
      </c>
      <c r="Q23" s="77">
        <v>0</v>
      </c>
      <c r="R23" s="2">
        <f t="shared" si="8"/>
        <v>-300000</v>
      </c>
      <c r="S23" s="2">
        <f t="shared" si="21"/>
        <v>500000</v>
      </c>
      <c r="T23" s="7">
        <f t="shared" si="9"/>
        <v>0.38212289242194514</v>
      </c>
      <c r="U23" s="3">
        <f t="shared" si="10"/>
        <v>-114636.86772658354</v>
      </c>
      <c r="V23" s="81">
        <f t="shared" si="18"/>
        <v>734894.1781381371</v>
      </c>
      <c r="Y23">
        <v>12</v>
      </c>
      <c r="Z23" s="3">
        <v>0</v>
      </c>
      <c r="AA23" s="80">
        <f t="shared" si="11"/>
        <v>2792028.1382049094</v>
      </c>
      <c r="AB23" s="77">
        <f t="shared" si="26"/>
        <v>8.5573413066746919</v>
      </c>
      <c r="AD23" s="2">
        <f t="shared" si="13"/>
        <v>-250000</v>
      </c>
      <c r="AE23" s="2">
        <f t="shared" si="22"/>
        <v>575000</v>
      </c>
      <c r="AF23" s="7">
        <f t="shared" si="14"/>
        <v>0.38212289242194514</v>
      </c>
      <c r="AG23" s="3">
        <f t="shared" si="15"/>
        <v>-95530.723105486279</v>
      </c>
      <c r="AH23" s="12">
        <f t="shared" si="19"/>
        <v>1286618.5310369369</v>
      </c>
    </row>
    <row r="24" spans="1:34" x14ac:dyDescent="0.25">
      <c r="A24">
        <v>13</v>
      </c>
      <c r="B24" s="3">
        <v>0</v>
      </c>
      <c r="C24" s="80">
        <f t="shared" si="1"/>
        <v>4660741.2122713458</v>
      </c>
      <c r="D24" s="77">
        <f t="shared" si="23"/>
        <v>12.224162328656277</v>
      </c>
      <c r="E24" s="77">
        <v>0</v>
      </c>
      <c r="F24" s="2">
        <f t="shared" si="2"/>
        <v>-200000</v>
      </c>
      <c r="G24" s="2">
        <f t="shared" si="20"/>
        <v>650000</v>
      </c>
      <c r="H24" s="7">
        <f t="shared" si="3"/>
        <v>0.35381749298328247</v>
      </c>
      <c r="I24" s="3">
        <f t="shared" si="4"/>
        <v>-70763.4985966565</v>
      </c>
      <c r="J24" s="12">
        <f t="shared" si="5"/>
        <v>1879033.1416088459</v>
      </c>
      <c r="K24">
        <v>1879033.1416088457</v>
      </c>
      <c r="L24" s="18">
        <f t="shared" si="24"/>
        <v>1</v>
      </c>
      <c r="M24">
        <v>13</v>
      </c>
      <c r="N24" s="3">
        <v>0</v>
      </c>
      <c r="O24" s="80">
        <f t="shared" si="6"/>
        <v>1423188.044244827</v>
      </c>
      <c r="P24" s="77">
        <f t="shared" si="25"/>
        <v>5.246334246981001</v>
      </c>
      <c r="Q24" s="77">
        <v>0</v>
      </c>
      <c r="R24" s="2">
        <f t="shared" si="8"/>
        <v>-300000</v>
      </c>
      <c r="S24" s="2">
        <f t="shared" si="21"/>
        <v>500000</v>
      </c>
      <c r="T24" s="7">
        <f t="shared" si="9"/>
        <v>0.35381749298328247</v>
      </c>
      <c r="U24" s="3">
        <f t="shared" si="10"/>
        <v>-106145.24789498474</v>
      </c>
      <c r="V24" s="81">
        <f t="shared" si="18"/>
        <v>680457.57235012681</v>
      </c>
      <c r="Y24">
        <v>13</v>
      </c>
      <c r="Z24" s="3">
        <v>0</v>
      </c>
      <c r="AA24" s="80">
        <f t="shared" si="11"/>
        <v>2792028.1382049094</v>
      </c>
      <c r="AB24" s="77">
        <f t="shared" si="26"/>
        <v>8.5573413066746919</v>
      </c>
      <c r="AD24" s="2">
        <f t="shared" si="13"/>
        <v>-250000</v>
      </c>
      <c r="AE24" s="2">
        <f t="shared" si="22"/>
        <v>575000</v>
      </c>
      <c r="AF24" s="7">
        <f t="shared" si="14"/>
        <v>0.35381749298328247</v>
      </c>
      <c r="AG24" s="3">
        <f t="shared" si="15"/>
        <v>-88454.373245820621</v>
      </c>
      <c r="AH24" s="12">
        <f t="shared" si="19"/>
        <v>1191313.4546638301</v>
      </c>
    </row>
    <row r="25" spans="1:34" x14ac:dyDescent="0.25">
      <c r="A25">
        <v>14</v>
      </c>
      <c r="B25" s="3">
        <v>0</v>
      </c>
      <c r="C25" s="80">
        <f t="shared" si="1"/>
        <v>4660741.2122713458</v>
      </c>
      <c r="D25" s="77">
        <f t="shared" si="23"/>
        <v>12.224162328656277</v>
      </c>
      <c r="E25" s="77">
        <v>0</v>
      </c>
      <c r="F25" s="2">
        <f t="shared" si="2"/>
        <v>-200000</v>
      </c>
      <c r="G25" s="2">
        <f t="shared" si="20"/>
        <v>650000</v>
      </c>
      <c r="H25" s="7">
        <f t="shared" si="3"/>
        <v>0.32760878979933561</v>
      </c>
      <c r="I25" s="3">
        <f t="shared" si="4"/>
        <v>-65521.757959867122</v>
      </c>
      <c r="J25" s="12">
        <f t="shared" si="5"/>
        <v>1739845.5014896721</v>
      </c>
      <c r="K25">
        <v>1739845.5014896719</v>
      </c>
      <c r="L25" s="18">
        <f t="shared" si="24"/>
        <v>1</v>
      </c>
      <c r="M25">
        <v>14</v>
      </c>
      <c r="N25" s="3">
        <v>0</v>
      </c>
      <c r="O25" s="80">
        <f t="shared" si="6"/>
        <v>1423188.044244827</v>
      </c>
      <c r="P25" s="77">
        <f t="shared" si="25"/>
        <v>5.246334246981001</v>
      </c>
      <c r="Q25" s="77">
        <v>0</v>
      </c>
      <c r="R25" s="2">
        <f t="shared" si="8"/>
        <v>-300000</v>
      </c>
      <c r="S25" s="2">
        <f t="shared" si="21"/>
        <v>500000</v>
      </c>
      <c r="T25" s="7">
        <f t="shared" si="9"/>
        <v>0.32760878979933561</v>
      </c>
      <c r="U25" s="3">
        <f t="shared" si="10"/>
        <v>-98282.636939800679</v>
      </c>
      <c r="V25" s="81">
        <f t="shared" si="18"/>
        <v>630053.30773159885</v>
      </c>
      <c r="Y25">
        <v>14</v>
      </c>
      <c r="Z25" s="3">
        <v>0</v>
      </c>
      <c r="AA25" s="80">
        <f t="shared" si="11"/>
        <v>2792028.1382049094</v>
      </c>
      <c r="AB25" s="77">
        <f t="shared" si="26"/>
        <v>8.5573413066746919</v>
      </c>
      <c r="AD25" s="2">
        <f t="shared" si="13"/>
        <v>-250000</v>
      </c>
      <c r="AE25" s="2">
        <f t="shared" si="22"/>
        <v>575000</v>
      </c>
      <c r="AF25" s="7">
        <f t="shared" si="14"/>
        <v>0.32760878979933561</v>
      </c>
      <c r="AG25" s="3">
        <f t="shared" si="15"/>
        <v>-81902.197449833897</v>
      </c>
      <c r="AH25" s="12">
        <f t="shared" si="19"/>
        <v>1103068.0135776205</v>
      </c>
    </row>
    <row r="26" spans="1:34" x14ac:dyDescent="0.25">
      <c r="U26"/>
      <c r="V26"/>
    </row>
    <row r="27" spans="1:34" x14ac:dyDescent="0.25">
      <c r="B27" s="79"/>
      <c r="C27" s="18"/>
      <c r="G27" t="s">
        <v>90</v>
      </c>
      <c r="H27" s="12">
        <f>SUM(I11:I25)</f>
        <v>-4938594.3428318799</v>
      </c>
      <c r="U27" t="s">
        <v>90</v>
      </c>
      <c r="V27" s="12">
        <f>SUM(U11:U25)</f>
        <v>-11208780.786412861</v>
      </c>
      <c r="AG27" t="s">
        <v>90</v>
      </c>
      <c r="AH27" s="12">
        <f>SUM(AG11:AG25)</f>
        <v>-8073687.5646223705</v>
      </c>
    </row>
    <row r="28" spans="1:34" x14ac:dyDescent="0.25">
      <c r="B28" s="18"/>
      <c r="C28" s="18"/>
      <c r="G28" t="s">
        <v>91</v>
      </c>
      <c r="H28" s="12">
        <f>SUM(J11:J25)</f>
        <v>34588313.724045016</v>
      </c>
      <c r="J28" s="81"/>
      <c r="N28" s="81"/>
      <c r="O28" s="18"/>
      <c r="U28" t="s">
        <v>91</v>
      </c>
      <c r="V28" s="12">
        <f>SUM(V11:V25)</f>
        <v>12889373.38844789</v>
      </c>
      <c r="AA28" s="18"/>
      <c r="AG28" t="s">
        <v>91</v>
      </c>
      <c r="AH28" s="12">
        <f>SUM(AH11:AH25)</f>
        <v>22193944.445128158</v>
      </c>
    </row>
    <row r="29" spans="1:34" x14ac:dyDescent="0.25">
      <c r="B29" s="18"/>
      <c r="C29" s="81"/>
      <c r="G29" s="1" t="s">
        <v>12</v>
      </c>
      <c r="H29" s="2">
        <f>SUM(I11:J25)</f>
        <v>29649719.381213129</v>
      </c>
      <c r="N29" s="18"/>
      <c r="U29" s="1" t="s">
        <v>12</v>
      </c>
      <c r="V29" s="2">
        <f>SUM(U11:V25)</f>
        <v>1680592.6020350317</v>
      </c>
      <c r="AG29" s="1" t="s">
        <v>12</v>
      </c>
      <c r="AH29" s="2">
        <f>SUM(AG11:AH25)</f>
        <v>14120256.880505785</v>
      </c>
    </row>
    <row r="30" spans="1:34" x14ac:dyDescent="0.25">
      <c r="A30" s="46"/>
      <c r="B30" s="18"/>
      <c r="C30" s="18"/>
      <c r="G30" s="1" t="s">
        <v>13</v>
      </c>
      <c r="H30" s="9">
        <f>-SUM(J11:J25)/SUM(I11:I25)</f>
        <v>7.0036758079246182</v>
      </c>
      <c r="N30" s="18"/>
      <c r="U30" s="1" t="s">
        <v>13</v>
      </c>
      <c r="V30" s="9">
        <f>-SUM(V11:V25)/SUM(U11:U25)</f>
        <v>1.1499353617542616</v>
      </c>
      <c r="AG30" s="1" t="s">
        <v>13</v>
      </c>
      <c r="AH30" s="9">
        <f>-SUM(AH11:AH25)/SUM(AG11:AG25)</f>
        <v>2.7489228766268505</v>
      </c>
    </row>
    <row r="31" spans="1:34" x14ac:dyDescent="0.25">
      <c r="B31" s="18"/>
      <c r="C31" s="18"/>
      <c r="G31" s="1"/>
    </row>
    <row r="32" spans="1:34" x14ac:dyDescent="0.25">
      <c r="B32" s="18"/>
      <c r="C32" s="18"/>
      <c r="D32" s="77"/>
      <c r="G32" s="1"/>
    </row>
    <row r="33" spans="1:8" ht="24" thickBot="1" x14ac:dyDescent="0.4">
      <c r="A33" s="10" t="s">
        <v>113</v>
      </c>
      <c r="G33" s="78" t="s">
        <v>353</v>
      </c>
      <c r="H33" s="77">
        <f>(1-EXP(-elasticity_high*LN(price_ratio)))*B$4*(A17-A$11+1)/(A$17-A$11+1)</f>
        <v>12.224162328656277</v>
      </c>
    </row>
    <row r="34" spans="1:8" ht="15.75" thickBot="1" x14ac:dyDescent="0.3">
      <c r="A34" s="27"/>
      <c r="B34" s="28" t="s">
        <v>44</v>
      </c>
      <c r="C34" s="28" t="s">
        <v>45</v>
      </c>
      <c r="D34" s="28" t="s">
        <v>46</v>
      </c>
      <c r="E34" s="28" t="s">
        <v>47</v>
      </c>
      <c r="G34" s="78" t="s">
        <v>354</v>
      </c>
      <c r="H34" s="124">
        <f>H33/B4</f>
        <v>0.3402460446135529</v>
      </c>
    </row>
    <row r="35" spans="1:8" x14ac:dyDescent="0.25">
      <c r="A35" s="29" t="s">
        <v>48</v>
      </c>
      <c r="B35" s="30" t="s">
        <v>49</v>
      </c>
      <c r="C35" s="37">
        <f>meters_by_region</f>
        <v>10000</v>
      </c>
      <c r="D35" s="37">
        <f>meters_by_region</f>
        <v>10000</v>
      </c>
      <c r="E35" s="37">
        <f>meters_by_region</f>
        <v>10000</v>
      </c>
    </row>
    <row r="36" spans="1:8" x14ac:dyDescent="0.25">
      <c r="A36" s="29" t="s">
        <v>50</v>
      </c>
      <c r="B36" s="30" t="s">
        <v>51</v>
      </c>
      <c r="C36" s="20">
        <f>N4</f>
        <v>27.943548387096776</v>
      </c>
      <c r="D36" s="20">
        <f>Z4</f>
        <v>31.935483870967744</v>
      </c>
      <c r="E36" s="20">
        <f>B4</f>
        <v>35.927419354838712</v>
      </c>
    </row>
    <row r="37" spans="1:8" x14ac:dyDescent="0.25">
      <c r="A37" s="29" t="s">
        <v>52</v>
      </c>
      <c r="B37" s="30" t="s">
        <v>53</v>
      </c>
      <c r="C37" s="30">
        <f>smart_meter_costs_high</f>
        <v>800</v>
      </c>
      <c r="D37" s="30">
        <f>smart_meter_costs_medium</f>
        <v>535</v>
      </c>
      <c r="E37" s="30">
        <f>smart_meter_costs_low</f>
        <v>270</v>
      </c>
    </row>
    <row r="38" spans="1:8" x14ac:dyDescent="0.25">
      <c r="A38" s="29" t="s">
        <v>54</v>
      </c>
      <c r="B38" s="30" t="s">
        <v>53</v>
      </c>
      <c r="C38" s="30">
        <f>IT_update_high</f>
        <v>150</v>
      </c>
      <c r="D38" s="30">
        <f>IT_update_medium</f>
        <v>125</v>
      </c>
      <c r="E38" s="30">
        <f>IT_update_low</f>
        <v>100</v>
      </c>
    </row>
    <row r="39" spans="1:8" x14ac:dyDescent="0.25">
      <c r="A39" s="29" t="s">
        <v>55</v>
      </c>
      <c r="B39" s="230" t="s">
        <v>56</v>
      </c>
      <c r="C39" s="230"/>
      <c r="D39" s="230"/>
      <c r="E39" s="230"/>
    </row>
    <row r="40" spans="1:8" x14ac:dyDescent="0.25">
      <c r="A40" s="29" t="s">
        <v>57</v>
      </c>
      <c r="B40" s="30" t="s">
        <v>58</v>
      </c>
      <c r="C40" s="30">
        <f>yrly_opex_high</f>
        <v>30</v>
      </c>
      <c r="D40" s="30">
        <f>yrly_opex_medium</f>
        <v>25</v>
      </c>
      <c r="E40" s="30">
        <f>yrly_opex_low</f>
        <v>20</v>
      </c>
    </row>
    <row r="41" spans="1:8" ht="25.5" x14ac:dyDescent="0.25">
      <c r="A41" s="29" t="s">
        <v>59</v>
      </c>
      <c r="B41" s="123" t="s">
        <v>243</v>
      </c>
      <c r="C41" s="30">
        <f>savings_low</f>
        <v>271.27285019321818</v>
      </c>
      <c r="D41" s="30">
        <f>savings_medium</f>
        <v>326.27285019321818</v>
      </c>
      <c r="E41" s="30">
        <f>savings_high</f>
        <v>381.27285019321818</v>
      </c>
    </row>
    <row r="42" spans="1:8" ht="25.5" x14ac:dyDescent="0.25">
      <c r="A42" s="29" t="s">
        <v>60</v>
      </c>
      <c r="B42" s="30" t="s">
        <v>61</v>
      </c>
      <c r="C42" s="20">
        <f>(1-EXP(-elasticity_low*LN(before_after_price)))*100</f>
        <v>18.774760364376451</v>
      </c>
      <c r="D42" s="20">
        <f>(1-EXP(-elasticity_medium*LN(before_after_price)))*100</f>
        <v>26.795715202718728</v>
      </c>
      <c r="E42" s="20">
        <f>(1-EXP(-elasticity_high*LN(before_after_price)))*100</f>
        <v>34.024604461355288</v>
      </c>
    </row>
    <row r="43" spans="1:8" ht="31.5" customHeight="1" x14ac:dyDescent="0.25">
      <c r="A43" s="29" t="s">
        <v>62</v>
      </c>
      <c r="B43" s="235" t="s">
        <v>203</v>
      </c>
      <c r="C43" s="231"/>
      <c r="D43" s="231"/>
      <c r="E43" s="231"/>
    </row>
    <row r="44" spans="1:8" x14ac:dyDescent="0.25">
      <c r="A44" s="29" t="s">
        <v>64</v>
      </c>
      <c r="B44" s="30" t="s">
        <v>65</v>
      </c>
      <c r="C44" s="30">
        <f>discount_rate</f>
        <v>8</v>
      </c>
      <c r="D44" s="30">
        <f>discount_rate</f>
        <v>8</v>
      </c>
      <c r="E44" s="30">
        <f>discount_rate</f>
        <v>8</v>
      </c>
    </row>
    <row r="45" spans="1:8" x14ac:dyDescent="0.25">
      <c r="A45" s="29" t="s">
        <v>6</v>
      </c>
      <c r="B45" s="30" t="s">
        <v>66</v>
      </c>
      <c r="C45" s="38">
        <f>-V27/1000000</f>
        <v>11.208780786412861</v>
      </c>
      <c r="D45" s="38">
        <f>AH27/1000000*-1</f>
        <v>8.0736875646223698</v>
      </c>
      <c r="E45" s="38">
        <f>H27/1000000*-1</f>
        <v>4.9385943428318795</v>
      </c>
    </row>
    <row r="46" spans="1:8" x14ac:dyDescent="0.25">
      <c r="A46" s="29" t="s">
        <v>5</v>
      </c>
      <c r="B46" s="30" t="s">
        <v>66</v>
      </c>
      <c r="C46" s="38">
        <f>V28/1000000</f>
        <v>12.88937338844789</v>
      </c>
      <c r="D46" s="38">
        <f>AH28/1000000</f>
        <v>22.193944445128157</v>
      </c>
      <c r="E46" s="38">
        <f>H28/1000000</f>
        <v>34.588313724045015</v>
      </c>
    </row>
    <row r="47" spans="1:8" x14ac:dyDescent="0.25">
      <c r="A47" s="29" t="s">
        <v>12</v>
      </c>
      <c r="B47" s="30" t="s">
        <v>66</v>
      </c>
      <c r="C47" s="38">
        <f>C46-C45</f>
        <v>1.6805926020350288</v>
      </c>
      <c r="D47" s="38">
        <f t="shared" ref="D47:E47" si="27">D46-D45</f>
        <v>14.120256880505787</v>
      </c>
      <c r="E47" s="38">
        <f t="shared" si="27"/>
        <v>29.649719381213135</v>
      </c>
    </row>
    <row r="48" spans="1:8" x14ac:dyDescent="0.25">
      <c r="A48" s="31" t="s">
        <v>67</v>
      </c>
      <c r="B48" s="32" t="s">
        <v>68</v>
      </c>
      <c r="C48" s="40">
        <f>C47*1000000/meters_by_region</f>
        <v>168.05926020350287</v>
      </c>
      <c r="D48" s="40">
        <f>D47*1000000/meters_by_region</f>
        <v>1412.0256880505788</v>
      </c>
      <c r="E48" s="40">
        <f>E47*1000000/meters_by_region</f>
        <v>2964.9719381213135</v>
      </c>
    </row>
    <row r="49" spans="1:5" ht="15.75" thickBot="1" x14ac:dyDescent="0.3">
      <c r="A49" s="33" t="s">
        <v>21</v>
      </c>
      <c r="B49" s="34" t="s">
        <v>69</v>
      </c>
      <c r="C49" s="39">
        <f>C46/C45</f>
        <v>1.1499353617542616</v>
      </c>
      <c r="D49" s="39">
        <f t="shared" ref="D49:E49" si="28">D46/D45</f>
        <v>2.7489228766268505</v>
      </c>
      <c r="E49" s="39">
        <f t="shared" si="28"/>
        <v>7.0036758079246191</v>
      </c>
    </row>
    <row r="50" spans="1:5" ht="25.5" x14ac:dyDescent="0.25">
      <c r="A50" s="50" t="s">
        <v>87</v>
      </c>
      <c r="B50" s="51" t="s">
        <v>88</v>
      </c>
      <c r="C50" s="3">
        <f>(C48*C44/100)/((1+discount_rate/100)^0.5-1/(1+discount_rate/100)^14.5)</f>
        <v>18.893101370602288</v>
      </c>
      <c r="D50" s="3">
        <f>(D48*D44/100)/((1+discount_rate/100)^0.5-1/(1+discount_rate/100)^14.5)</f>
        <v>158.73891405882782</v>
      </c>
      <c r="E50" s="3">
        <f>(E48*E44/100)/((1+discount_rate/100)^0.5-1/(1+discount_rate/100)^14.5)</f>
        <v>333.32001652325215</v>
      </c>
    </row>
    <row r="51" spans="1:5" x14ac:dyDescent="0.25">
      <c r="A51" s="56"/>
      <c r="B51" s="56"/>
      <c r="C51" s="56"/>
      <c r="D51" s="56" t="s">
        <v>95</v>
      </c>
      <c r="E51" s="56" t="s">
        <v>96</v>
      </c>
    </row>
    <row r="52" spans="1:5" ht="25.5" x14ac:dyDescent="0.25">
      <c r="A52" s="57" t="s">
        <v>98</v>
      </c>
      <c r="B52" s="55"/>
      <c r="C52" s="55"/>
      <c r="D52" s="53">
        <f>_xlfn.BETA.INV(0.25,alpha,beta,$C48,$E48)</f>
        <v>921.16218085446087</v>
      </c>
      <c r="E52" s="53">
        <f>_xlfn.BETA.INV(0.75,alpha,beta,$C48,$E48)</f>
        <v>1931.9900654826408</v>
      </c>
    </row>
    <row r="53" spans="1:5" ht="25.5" x14ac:dyDescent="0.25">
      <c r="A53" s="57" t="s">
        <v>99</v>
      </c>
      <c r="B53" s="55"/>
      <c r="C53" s="55"/>
      <c r="D53" s="53">
        <f>MROUND((D52*discount_rate/100)/((1+discount_rate/100)^0.5-1/(1+discount_rate/100)^14.5),50)</f>
        <v>100</v>
      </c>
      <c r="E53" s="53">
        <f>MROUND((E52*discount_rate/100)/((1+discount_rate/100)^0.5-1/(1+discount_rate/100)^14.5),50)</f>
        <v>200</v>
      </c>
    </row>
    <row r="54" spans="1:5" x14ac:dyDescent="0.25">
      <c r="A54" s="52"/>
      <c r="B54" s="52"/>
      <c r="C54" s="106" t="s">
        <v>18</v>
      </c>
      <c r="D54" s="106" t="s">
        <v>85</v>
      </c>
      <c r="E54" s="106" t="s">
        <v>20</v>
      </c>
    </row>
    <row r="55" spans="1:5" x14ac:dyDescent="0.25">
      <c r="A55" s="112"/>
      <c r="B55" s="111" t="s">
        <v>208</v>
      </c>
      <c r="C55" s="113">
        <f>MROUND(C47*1000000/meters_by_region,10)</f>
        <v>170</v>
      </c>
      <c r="D55" s="113">
        <f>MROUND(D47*1000000/meters_by_region,10)</f>
        <v>1410</v>
      </c>
      <c r="E55" s="113">
        <f>MROUND(E47*1000000/meters_by_region,10)</f>
        <v>2960</v>
      </c>
    </row>
    <row r="56" spans="1:5" x14ac:dyDescent="0.25">
      <c r="A56" s="50"/>
    </row>
    <row r="57" spans="1:5" x14ac:dyDescent="0.25">
      <c r="A57" s="50"/>
    </row>
    <row r="59" spans="1:5" x14ac:dyDescent="0.25">
      <c r="A59" s="1" t="s">
        <v>97</v>
      </c>
    </row>
    <row r="60" spans="1:5" x14ac:dyDescent="0.25">
      <c r="A60" s="54" t="s">
        <v>115</v>
      </c>
      <c r="B60" s="62">
        <f>_xlfn.BETA.INV(0.5,alpha,beta,C48,E48)</f>
        <v>1412.0141654585118</v>
      </c>
    </row>
    <row r="61" spans="1:5" x14ac:dyDescent="0.25">
      <c r="A61" s="54" t="s">
        <v>94</v>
      </c>
      <c r="B61" s="62">
        <f>_xlfn.BETA.INV(0.75,alpha,beta,C48,E48)</f>
        <v>1931.9900654826408</v>
      </c>
    </row>
    <row r="62" spans="1:5" x14ac:dyDescent="0.25">
      <c r="A62" s="54" t="s">
        <v>92</v>
      </c>
      <c r="B62" s="59">
        <v>1.662667060836402</v>
      </c>
    </row>
    <row r="63" spans="1:5" x14ac:dyDescent="0.25">
      <c r="A63" s="54" t="s">
        <v>93</v>
      </c>
      <c r="B63" s="59">
        <v>2</v>
      </c>
    </row>
    <row r="64" spans="1:5" x14ac:dyDescent="0.25">
      <c r="A64" s="54" t="s">
        <v>100</v>
      </c>
      <c r="B64" s="62">
        <f>(B60-D48)^2</f>
        <v>1.3277012794173692E-4</v>
      </c>
      <c r="C64" s="200" t="s">
        <v>363</v>
      </c>
    </row>
    <row r="67" spans="1:2" x14ac:dyDescent="0.25">
      <c r="A67" s="116" t="s">
        <v>213</v>
      </c>
      <c r="B67" s="118" t="s">
        <v>215</v>
      </c>
    </row>
    <row r="68" spans="1:2" x14ac:dyDescent="0.25">
      <c r="A68" s="116" t="s">
        <v>211</v>
      </c>
      <c r="B68" s="117">
        <f>(1-EXP(-elasticity_high*LN(price_ratio)))</f>
        <v>0.3402460446135529</v>
      </c>
    </row>
    <row r="69" spans="1:2" x14ac:dyDescent="0.25">
      <c r="A69" s="116" t="s">
        <v>212</v>
      </c>
      <c r="B69" s="117">
        <f>(1-EXP(-elasticity_medium*LN(price_ratio)))</f>
        <v>0.26795715202718728</v>
      </c>
    </row>
    <row r="70" spans="1:2" x14ac:dyDescent="0.25">
      <c r="A70" s="116" t="s">
        <v>214</v>
      </c>
      <c r="B70" s="117">
        <f>(1-EXP(-elasticity_low*LN(price_ratio)))</f>
        <v>0.18774760364376453</v>
      </c>
    </row>
  </sheetData>
  <mergeCells count="2">
    <mergeCell ref="B39:E39"/>
    <mergeCell ref="B43:E43"/>
  </mergeCells>
  <hyperlinks>
    <hyperlink ref="K1" location="Contents!A1" display="Back to the Contents of this spreadsheet"/>
  </hyperlinks>
  <pageMargins left="0.7" right="0.7" top="0.75" bottom="0.7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zoomScaleNormal="100" workbookViewId="0">
      <selection activeCell="A7" sqref="A7"/>
    </sheetView>
  </sheetViews>
  <sheetFormatPr defaultRowHeight="15" x14ac:dyDescent="0.25"/>
  <cols>
    <col min="1" max="1" width="103.42578125" style="126" customWidth="1"/>
  </cols>
  <sheetData>
    <row r="1" spans="1:1" x14ac:dyDescent="0.25">
      <c r="A1" s="223" t="s">
        <v>389</v>
      </c>
    </row>
    <row r="3" spans="1:1" ht="16.5" x14ac:dyDescent="0.25">
      <c r="A3" s="227" t="s">
        <v>388</v>
      </c>
    </row>
    <row r="4" spans="1:1" s="229" customFormat="1" ht="33" x14ac:dyDescent="0.25">
      <c r="A4" s="228" t="s">
        <v>390</v>
      </c>
    </row>
    <row r="5" spans="1:1" s="229" customFormat="1" ht="33" x14ac:dyDescent="0.25">
      <c r="A5" s="228" t="s">
        <v>391</v>
      </c>
    </row>
    <row r="6" spans="1:1" s="229" customFormat="1" ht="33" x14ac:dyDescent="0.25">
      <c r="A6" s="228" t="s">
        <v>392</v>
      </c>
    </row>
    <row r="7" spans="1:1" s="229" customFormat="1" ht="33" x14ac:dyDescent="0.25">
      <c r="A7" s="228" t="s">
        <v>393</v>
      </c>
    </row>
    <row r="8" spans="1:1" s="229" customFormat="1" ht="33" x14ac:dyDescent="0.25">
      <c r="A8" s="228" t="s">
        <v>394</v>
      </c>
    </row>
    <row r="9" spans="1:1" s="229" customFormat="1" ht="33" x14ac:dyDescent="0.25">
      <c r="A9" s="228" t="s">
        <v>426</v>
      </c>
    </row>
    <row r="10" spans="1:1" s="229" customFormat="1" ht="49.5" x14ac:dyDescent="0.25">
      <c r="A10" s="228" t="s">
        <v>395</v>
      </c>
    </row>
    <row r="11" spans="1:1" s="229" customFormat="1" ht="33" x14ac:dyDescent="0.25">
      <c r="A11" s="228" t="s">
        <v>396</v>
      </c>
    </row>
    <row r="12" spans="1:1" s="229" customFormat="1" ht="49.5" x14ac:dyDescent="0.25">
      <c r="A12" s="228" t="s">
        <v>397</v>
      </c>
    </row>
    <row r="13" spans="1:1" s="229" customFormat="1" ht="36" x14ac:dyDescent="0.25">
      <c r="A13" s="228" t="s">
        <v>398</v>
      </c>
    </row>
    <row r="14" spans="1:1" s="229" customFormat="1" ht="33" x14ac:dyDescent="0.25">
      <c r="A14" s="228" t="s">
        <v>399</v>
      </c>
    </row>
    <row r="15" spans="1:1" s="229" customFormat="1" ht="33" x14ac:dyDescent="0.25">
      <c r="A15" s="228" t="s">
        <v>400</v>
      </c>
    </row>
    <row r="16" spans="1:1" s="229" customFormat="1" ht="49.5" x14ac:dyDescent="0.25">
      <c r="A16" s="228" t="s">
        <v>401</v>
      </c>
    </row>
    <row r="17" spans="1:1" s="229" customFormat="1" ht="33" x14ac:dyDescent="0.25">
      <c r="A17" s="228" t="s">
        <v>402</v>
      </c>
    </row>
    <row r="18" spans="1:1" s="229" customFormat="1" ht="33" x14ac:dyDescent="0.25">
      <c r="A18" s="228" t="s">
        <v>403</v>
      </c>
    </row>
    <row r="19" spans="1:1" s="229" customFormat="1" ht="33" x14ac:dyDescent="0.25">
      <c r="A19" s="228" t="s">
        <v>404</v>
      </c>
    </row>
    <row r="20" spans="1:1" s="229" customFormat="1" ht="33" x14ac:dyDescent="0.25">
      <c r="A20" s="228" t="s">
        <v>405</v>
      </c>
    </row>
    <row r="21" spans="1:1" s="229" customFormat="1" ht="33" x14ac:dyDescent="0.25">
      <c r="A21" s="228" t="s">
        <v>406</v>
      </c>
    </row>
    <row r="22" spans="1:1" s="229" customFormat="1" ht="16.5" x14ac:dyDescent="0.25">
      <c r="A22" s="228" t="s">
        <v>407</v>
      </c>
    </row>
    <row r="23" spans="1:1" s="229" customFormat="1" ht="16.5" x14ac:dyDescent="0.25">
      <c r="A23" s="228" t="s">
        <v>408</v>
      </c>
    </row>
    <row r="24" spans="1:1" s="229" customFormat="1" ht="33" x14ac:dyDescent="0.25">
      <c r="A24" s="228" t="s">
        <v>409</v>
      </c>
    </row>
    <row r="25" spans="1:1" s="229" customFormat="1" ht="49.5" x14ac:dyDescent="0.25">
      <c r="A25" s="228" t="s">
        <v>410</v>
      </c>
    </row>
    <row r="26" spans="1:1" s="229" customFormat="1" ht="33" x14ac:dyDescent="0.25">
      <c r="A26" s="228" t="s">
        <v>411</v>
      </c>
    </row>
    <row r="27" spans="1:1" s="229" customFormat="1" ht="33" x14ac:dyDescent="0.25">
      <c r="A27" s="228" t="s">
        <v>412</v>
      </c>
    </row>
    <row r="28" spans="1:1" s="229" customFormat="1" ht="49.5" x14ac:dyDescent="0.25">
      <c r="A28" s="228" t="s">
        <v>413</v>
      </c>
    </row>
    <row r="29" spans="1:1" s="229" customFormat="1" ht="33" x14ac:dyDescent="0.25">
      <c r="A29" s="228" t="s">
        <v>414</v>
      </c>
    </row>
    <row r="30" spans="1:1" s="229" customFormat="1" ht="33" x14ac:dyDescent="0.25">
      <c r="A30" s="228" t="s">
        <v>415</v>
      </c>
    </row>
    <row r="31" spans="1:1" s="229" customFormat="1" ht="16.5" x14ac:dyDescent="0.25">
      <c r="A31" s="228" t="s">
        <v>416</v>
      </c>
    </row>
    <row r="32" spans="1:1" s="229" customFormat="1" ht="33" x14ac:dyDescent="0.25">
      <c r="A32" s="228" t="s">
        <v>417</v>
      </c>
    </row>
    <row r="33" spans="1:1" s="229" customFormat="1" ht="33" x14ac:dyDescent="0.25">
      <c r="A33" s="228" t="s">
        <v>418</v>
      </c>
    </row>
    <row r="34" spans="1:1" s="229" customFormat="1" ht="33" x14ac:dyDescent="0.25">
      <c r="A34" s="228" t="s">
        <v>419</v>
      </c>
    </row>
    <row r="35" spans="1:1" s="229" customFormat="1" ht="33" x14ac:dyDescent="0.25">
      <c r="A35" s="228" t="s">
        <v>420</v>
      </c>
    </row>
    <row r="36" spans="1:1" s="229" customFormat="1" ht="16.5" x14ac:dyDescent="0.25">
      <c r="A36" s="228" t="s">
        <v>421</v>
      </c>
    </row>
    <row r="37" spans="1:1" s="229" customFormat="1" ht="33" x14ac:dyDescent="0.25">
      <c r="A37" s="228" t="s">
        <v>422</v>
      </c>
    </row>
    <row r="38" spans="1:1" s="229" customFormat="1" ht="33" x14ac:dyDescent="0.25">
      <c r="A38" s="228" t="s">
        <v>423</v>
      </c>
    </row>
    <row r="39" spans="1:1" s="229" customFormat="1" ht="33" x14ac:dyDescent="0.25">
      <c r="A39" s="228" t="s">
        <v>424</v>
      </c>
    </row>
    <row r="40" spans="1:1" s="229" customFormat="1" ht="33" x14ac:dyDescent="0.25">
      <c r="A40" s="228" t="s">
        <v>425</v>
      </c>
    </row>
  </sheetData>
  <hyperlinks>
    <hyperlink ref="A1" location="Contents!A1" display="Back to the Contents of this spreadsheet"/>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defaultRowHeight="15" x14ac:dyDescent="0.25"/>
  <cols>
    <col min="1" max="1" width="32.28515625" bestFit="1" customWidth="1"/>
  </cols>
  <sheetData>
    <row r="1" spans="1:1" ht="18.75" x14ac:dyDescent="0.3">
      <c r="A1" s="224" t="s">
        <v>375</v>
      </c>
    </row>
    <row r="2" spans="1:1" x14ac:dyDescent="0.25">
      <c r="A2" s="225"/>
    </row>
    <row r="3" spans="1:1" x14ac:dyDescent="0.25">
      <c r="A3" s="226" t="s">
        <v>376</v>
      </c>
    </row>
    <row r="4" spans="1:1" x14ac:dyDescent="0.25">
      <c r="A4" s="226" t="s">
        <v>113</v>
      </c>
    </row>
    <row r="5" spans="1:1" x14ac:dyDescent="0.25">
      <c r="A5" s="226" t="s">
        <v>377</v>
      </c>
    </row>
    <row r="6" spans="1:1" x14ac:dyDescent="0.25">
      <c r="A6" s="226" t="s">
        <v>378</v>
      </c>
    </row>
    <row r="7" spans="1:1" x14ac:dyDescent="0.25">
      <c r="A7" s="226" t="s">
        <v>379</v>
      </c>
    </row>
    <row r="8" spans="1:1" x14ac:dyDescent="0.25">
      <c r="A8" s="226" t="s">
        <v>380</v>
      </c>
    </row>
    <row r="9" spans="1:1" x14ac:dyDescent="0.25">
      <c r="A9" s="226" t="s">
        <v>381</v>
      </c>
    </row>
    <row r="10" spans="1:1" x14ac:dyDescent="0.25">
      <c r="A10" s="226" t="s">
        <v>382</v>
      </c>
    </row>
    <row r="11" spans="1:1" x14ac:dyDescent="0.25">
      <c r="A11" s="226" t="s">
        <v>383</v>
      </c>
    </row>
    <row r="12" spans="1:1" x14ac:dyDescent="0.25">
      <c r="A12" s="226" t="s">
        <v>384</v>
      </c>
    </row>
    <row r="13" spans="1:1" x14ac:dyDescent="0.25">
      <c r="A13" s="226" t="s">
        <v>385</v>
      </c>
    </row>
    <row r="14" spans="1:1" x14ac:dyDescent="0.25">
      <c r="A14" s="226" t="s">
        <v>386</v>
      </c>
    </row>
    <row r="15" spans="1:1" x14ac:dyDescent="0.25">
      <c r="A15" s="226" t="s">
        <v>387</v>
      </c>
    </row>
    <row r="16" spans="1:1" x14ac:dyDescent="0.25">
      <c r="A16" s="226" t="s">
        <v>388</v>
      </c>
    </row>
  </sheetData>
  <hyperlinks>
    <hyperlink ref="A3" location="'About this spreadsheet'!A1" display="About this spreadsheet"/>
    <hyperlink ref="A4" location="Summary!A1" display="Summary"/>
    <hyperlink ref="A5" location="'Assumption parameters'!A1" display="Assumption parameters"/>
    <hyperlink ref="A6" location="'(1) Constrained Peaky regions'!A1" display="(1) Constrained Peaky regions"/>
    <hyperlink ref="A7" location="'(2) NEM phase in'!A1" display="(2) NEM phase in"/>
    <hyperlink ref="A8" location="'(3) NEM phase TOU'!A1" display="(3) NEM phase TOU"/>
    <hyperlink ref="A9" location="'(4) NEM DLC no SM'!_ftnref1" display="(4) NEM DLC no SM"/>
    <hyperlink ref="A10" location="'Airconditioning results'!A1" display="Airconditioning results"/>
    <hyperlink ref="A11" location="'Summary LRMC&amp;SRMC'!A1" display="Summary LRMC and SRMC"/>
    <hyperlink ref="A12" location="'Various LRMC'!A1" display="Various LRMC"/>
    <hyperlink ref="A13" location="'AECOM LRMC&amp;SRMC'!A1" display="AECOM LRMC and SRMC"/>
    <hyperlink ref="A14" location="'One off'!A1" display="One off"/>
    <hyperlink ref="A15" location="'Constrained peaky networks (v2)'!A1" display="Constrained peaky networks (V2)"/>
    <hyperlink ref="A16" location="References!A1" display="Referenc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tint="0.39997558519241921"/>
  </sheetPr>
  <dimension ref="A1:J13"/>
  <sheetViews>
    <sheetView topLeftCell="B1" zoomScaleNormal="100" workbookViewId="0">
      <selection activeCell="F1" sqref="F1"/>
    </sheetView>
  </sheetViews>
  <sheetFormatPr defaultRowHeight="15" x14ac:dyDescent="0.25"/>
  <cols>
    <col min="1" max="1" width="19.7109375" customWidth="1"/>
    <col min="3" max="3" width="19.7109375" customWidth="1"/>
    <col min="6" max="6" width="37.42578125" bestFit="1" customWidth="1"/>
    <col min="10" max="10" width="19.7109375" customWidth="1"/>
  </cols>
  <sheetData>
    <row r="1" spans="1:10" x14ac:dyDescent="0.25">
      <c r="A1" s="47"/>
      <c r="C1" s="47"/>
      <c r="F1" s="223" t="s">
        <v>389</v>
      </c>
      <c r="J1" s="47"/>
    </row>
    <row r="2" spans="1:10" x14ac:dyDescent="0.25">
      <c r="A2" s="1" t="s">
        <v>31</v>
      </c>
      <c r="E2" s="77"/>
    </row>
    <row r="3" spans="1:10" ht="15.75" thickBot="1" x14ac:dyDescent="0.3">
      <c r="E3" s="77"/>
      <c r="J3" s="211" t="s">
        <v>369</v>
      </c>
    </row>
    <row r="4" spans="1:10" ht="102.75" thickBot="1" x14ac:dyDescent="0.3">
      <c r="A4" s="201"/>
      <c r="B4" s="202" t="s">
        <v>366</v>
      </c>
      <c r="C4" s="202" t="s">
        <v>335</v>
      </c>
      <c r="D4" s="202" t="s">
        <v>336</v>
      </c>
      <c r="E4" s="202" t="s">
        <v>337</v>
      </c>
      <c r="J4" s="212" t="s">
        <v>368</v>
      </c>
    </row>
    <row r="5" spans="1:10" s="77" customFormat="1" x14ac:dyDescent="0.25">
      <c r="A5" s="203" t="s">
        <v>338</v>
      </c>
      <c r="B5" s="203"/>
      <c r="C5" s="203"/>
      <c r="D5" s="203"/>
      <c r="E5" s="203"/>
      <c r="J5" s="213"/>
    </row>
    <row r="6" spans="1:10" x14ac:dyDescent="0.25">
      <c r="A6" s="209" t="s">
        <v>18</v>
      </c>
      <c r="B6" s="219">
        <f>'(1) Constrained Peaky regions'!R31</f>
        <v>1.1190819542326362</v>
      </c>
      <c r="C6" s="219">
        <f>'(2) NEM phase in'!R31</f>
        <v>0.5524794963694335</v>
      </c>
      <c r="D6" s="219">
        <f>'(3) NEM phase TOU'!R31</f>
        <v>0.33796573174715833</v>
      </c>
      <c r="E6" s="219">
        <f>'(4) NEM DLC no SM'!U31</f>
        <v>1.2057208552955874</v>
      </c>
      <c r="J6" s="214">
        <f>'Constrained peaky networks (v2)'!V30</f>
        <v>1.1499353617542616</v>
      </c>
    </row>
    <row r="7" spans="1:10" x14ac:dyDescent="0.25">
      <c r="A7" s="209" t="s">
        <v>85</v>
      </c>
      <c r="B7" s="219">
        <f>'(1) Constrained Peaky regions'!AB31</f>
        <v>2.6938955439569732</v>
      </c>
      <c r="C7" s="219">
        <f>'(2) NEM phase in'!AB31</f>
        <v>1.1506949039697034</v>
      </c>
      <c r="D7" s="219">
        <f>'(3) NEM phase TOU'!AB31</f>
        <v>0.56644438712655687</v>
      </c>
      <c r="E7" s="219">
        <f>'(4) NEM DLC no SM'!AE31</f>
        <v>2.6939819576333552</v>
      </c>
      <c r="J7" s="214">
        <f>'Constrained peaky networks (v2)'!AH30</f>
        <v>2.7489228766268505</v>
      </c>
    </row>
    <row r="8" spans="1:10" x14ac:dyDescent="0.25">
      <c r="A8" s="210" t="s">
        <v>20</v>
      </c>
      <c r="B8" s="220">
        <f>'(1) Constrained Peaky regions'!H31</f>
        <v>6.9098243625537856</v>
      </c>
      <c r="C8" s="220">
        <f>'(2) NEM phase in'!I31</f>
        <v>2.6984274169394253</v>
      </c>
      <c r="D8" s="220">
        <f>'(3) NEM phase TOU'!H31</f>
        <v>1.0788266533453963</v>
      </c>
      <c r="E8" s="220">
        <f>'(4) NEM DLC no SM'!I31</f>
        <v>6.2653505149623481</v>
      </c>
      <c r="J8" s="215">
        <f>'Constrained peaky networks (v2)'!H30</f>
        <v>7.0036758079246182</v>
      </c>
    </row>
    <row r="9" spans="1:10" s="77" customFormat="1" x14ac:dyDescent="0.25">
      <c r="A9" s="206" t="s">
        <v>367</v>
      </c>
      <c r="B9" s="203"/>
      <c r="C9" s="203"/>
      <c r="D9" s="203"/>
      <c r="E9" s="203"/>
      <c r="J9" s="213"/>
    </row>
    <row r="10" spans="1:10" x14ac:dyDescent="0.25">
      <c r="A10" s="204" t="s">
        <v>339</v>
      </c>
      <c r="B10" s="207">
        <f>'(1) Constrained Peaky regions'!D54</f>
        <v>100</v>
      </c>
      <c r="C10" s="207">
        <f>'(2) NEM phase in'!D54</f>
        <v>-10</v>
      </c>
      <c r="D10" s="207">
        <f>'(3) NEM phase TOU'!D54</f>
        <v>-45</v>
      </c>
      <c r="E10" s="207">
        <f>'(4) NEM DLC no SM'!D53</f>
        <v>65</v>
      </c>
      <c r="J10" s="216">
        <f>'Constrained peaky networks (v2)'!D53</f>
        <v>100</v>
      </c>
    </row>
    <row r="11" spans="1:10" ht="15.75" thickBot="1" x14ac:dyDescent="0.3">
      <c r="A11" s="205" t="s">
        <v>340</v>
      </c>
      <c r="B11" s="208">
        <f>'(1) Constrained Peaky regions'!E54</f>
        <v>200</v>
      </c>
      <c r="C11" s="208">
        <f>'(2) NEM phase in'!E54</f>
        <v>35</v>
      </c>
      <c r="D11" s="208">
        <f>'(3) NEM phase TOU'!E54</f>
        <v>-20</v>
      </c>
      <c r="E11" s="208">
        <f>'(4) NEM DLC no SM'!E53</f>
        <v>140</v>
      </c>
      <c r="J11" s="217">
        <f>'Constrained peaky networks (v2)'!E53</f>
        <v>200</v>
      </c>
    </row>
    <row r="12" spans="1:10" x14ac:dyDescent="0.25">
      <c r="A12" s="16"/>
      <c r="C12" s="16"/>
      <c r="D12" s="115"/>
      <c r="E12" s="115"/>
      <c r="J12" s="16"/>
    </row>
    <row r="13" spans="1:10" x14ac:dyDescent="0.25">
      <c r="A13" s="16"/>
      <c r="C13" s="16"/>
      <c r="D13" s="77"/>
      <c r="E13" s="77"/>
      <c r="J13" s="16"/>
    </row>
  </sheetData>
  <hyperlinks>
    <hyperlink ref="F1" location="Contents!A1" display="Back to the Contents of this spreadsheet"/>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K83"/>
  <sheetViews>
    <sheetView workbookViewId="0">
      <selection activeCell="F11" sqref="F11"/>
    </sheetView>
  </sheetViews>
  <sheetFormatPr defaultRowHeight="15" x14ac:dyDescent="0.25"/>
  <cols>
    <col min="1" max="1" width="51.140625" customWidth="1"/>
    <col min="2" max="2" width="18.7109375" customWidth="1"/>
    <col min="3" max="3" width="13.7109375" bestFit="1" customWidth="1"/>
    <col min="5" max="5" width="2.7109375" customWidth="1"/>
    <col min="9" max="9" width="11" bestFit="1" customWidth="1"/>
  </cols>
  <sheetData>
    <row r="1" spans="1:11" ht="16.149999999999999" customHeight="1" thickBot="1" x14ac:dyDescent="0.3">
      <c r="F1" t="s">
        <v>26</v>
      </c>
      <c r="K1" s="223" t="s">
        <v>389</v>
      </c>
    </row>
    <row r="2" spans="1:11" ht="16.149999999999999" customHeight="1" thickTop="1" thickBot="1" x14ac:dyDescent="0.3">
      <c r="A2" s="41" t="s">
        <v>23</v>
      </c>
      <c r="B2" s="23">
        <v>8</v>
      </c>
      <c r="C2" t="s">
        <v>3</v>
      </c>
      <c r="F2" t="s">
        <v>117</v>
      </c>
    </row>
    <row r="3" spans="1:11" ht="16.149999999999999" customHeight="1" thickTop="1" x14ac:dyDescent="0.25"/>
    <row r="4" spans="1:11" ht="16.149999999999999" customHeight="1" thickBot="1" x14ac:dyDescent="0.3">
      <c r="A4" s="41" t="s">
        <v>34</v>
      </c>
    </row>
    <row r="5" spans="1:11" ht="16.149999999999999" customHeight="1" thickTop="1" thickBot="1" x14ac:dyDescent="0.3">
      <c r="A5" s="21" t="s">
        <v>24</v>
      </c>
      <c r="B5" s="23">
        <v>270</v>
      </c>
      <c r="F5" t="s">
        <v>252</v>
      </c>
    </row>
    <row r="6" spans="1:11" ht="16.5" thickTop="1" thickBot="1" x14ac:dyDescent="0.3">
      <c r="A6" s="21" t="s">
        <v>19</v>
      </c>
      <c r="B6">
        <f>(B5+B7)/2</f>
        <v>535</v>
      </c>
      <c r="F6" t="s">
        <v>27</v>
      </c>
    </row>
    <row r="7" spans="1:11" ht="16.5" thickTop="1" thickBot="1" x14ac:dyDescent="0.3">
      <c r="A7" s="21" t="s">
        <v>25</v>
      </c>
      <c r="B7" s="23">
        <v>800</v>
      </c>
      <c r="F7" t="s">
        <v>249</v>
      </c>
    </row>
    <row r="8" spans="1:11" ht="15.75" thickTop="1" x14ac:dyDescent="0.25"/>
    <row r="9" spans="1:11" ht="15.75" thickBot="1" x14ac:dyDescent="0.3">
      <c r="A9" s="41" t="s">
        <v>35</v>
      </c>
    </row>
    <row r="10" spans="1:11" ht="16.5" thickTop="1" thickBot="1" x14ac:dyDescent="0.3">
      <c r="A10" s="21" t="s">
        <v>24</v>
      </c>
      <c r="B10" s="23">
        <v>100</v>
      </c>
    </row>
    <row r="11" spans="1:11" ht="16.5" thickTop="1" thickBot="1" x14ac:dyDescent="0.3">
      <c r="A11" s="21" t="s">
        <v>19</v>
      </c>
      <c r="B11">
        <f>(B10+B12)/2</f>
        <v>125</v>
      </c>
      <c r="F11" t="s">
        <v>27</v>
      </c>
    </row>
    <row r="12" spans="1:11" ht="16.5" thickTop="1" thickBot="1" x14ac:dyDescent="0.3">
      <c r="A12" s="21" t="s">
        <v>25</v>
      </c>
      <c r="B12" s="23">
        <v>150</v>
      </c>
      <c r="F12" t="s">
        <v>248</v>
      </c>
    </row>
    <row r="13" spans="1:11" ht="15.75" thickTop="1" x14ac:dyDescent="0.25"/>
    <row r="14" spans="1:11" ht="15.75" thickBot="1" x14ac:dyDescent="0.3">
      <c r="A14" s="41" t="s">
        <v>36</v>
      </c>
    </row>
    <row r="15" spans="1:11" ht="16.5" thickTop="1" thickBot="1" x14ac:dyDescent="0.3">
      <c r="A15" s="21" t="s">
        <v>24</v>
      </c>
      <c r="B15" s="23">
        <v>20</v>
      </c>
      <c r="F15" t="s">
        <v>250</v>
      </c>
    </row>
    <row r="16" spans="1:11" ht="16.5" thickTop="1" thickBot="1" x14ac:dyDescent="0.3">
      <c r="A16" s="21" t="s">
        <v>19</v>
      </c>
      <c r="B16">
        <f>(B15+B17)/2</f>
        <v>25</v>
      </c>
    </row>
    <row r="17" spans="1:10" ht="16.5" thickTop="1" thickBot="1" x14ac:dyDescent="0.3">
      <c r="A17" s="21" t="s">
        <v>25</v>
      </c>
      <c r="B17" s="23">
        <v>30</v>
      </c>
    </row>
    <row r="18" spans="1:10" ht="15.75" thickTop="1" x14ac:dyDescent="0.25"/>
    <row r="19" spans="1:10" ht="15.75" thickBot="1" x14ac:dyDescent="0.3">
      <c r="A19" s="41" t="s">
        <v>37</v>
      </c>
      <c r="F19" s="75" t="s">
        <v>346</v>
      </c>
      <c r="G19" s="75" t="s">
        <v>347</v>
      </c>
      <c r="H19" s="75" t="s">
        <v>351</v>
      </c>
      <c r="I19" s="75" t="s">
        <v>348</v>
      </c>
      <c r="J19" s="75"/>
    </row>
    <row r="20" spans="1:10" ht="16.5" thickTop="1" thickBot="1" x14ac:dyDescent="0.3">
      <c r="A20" s="21" t="s">
        <v>24</v>
      </c>
      <c r="B20" s="23">
        <v>50</v>
      </c>
      <c r="F20" s="91">
        <f>G20/2.66*(discount_rate/100)/(1+discount_rate/100-1/((1+discount_rate)^15))</f>
        <v>58.228905597326907</v>
      </c>
      <c r="G20" s="75">
        <f>855+956+280</f>
        <v>2091</v>
      </c>
      <c r="H20" s="75" t="s">
        <v>345</v>
      </c>
      <c r="I20" s="75"/>
      <c r="J20" s="75"/>
    </row>
    <row r="21" spans="1:10" ht="16.5" thickTop="1" thickBot="1" x14ac:dyDescent="0.3">
      <c r="A21" s="21" t="s">
        <v>19</v>
      </c>
      <c r="B21">
        <f>(B20+B22)/2</f>
        <v>57.5</v>
      </c>
      <c r="F21" s="91">
        <f>G21/2.66*(discount_rate/100)/(1+discount_rate/100-1/((1+discount_rate)^15))</f>
        <v>42.884990253411502</v>
      </c>
      <c r="G21" s="75">
        <f>802+587+151</f>
        <v>1540</v>
      </c>
      <c r="H21" s="75" t="s">
        <v>343</v>
      </c>
      <c r="I21" s="75"/>
      <c r="J21" s="75"/>
    </row>
    <row r="22" spans="1:10" ht="16.5" thickTop="1" thickBot="1" x14ac:dyDescent="0.3">
      <c r="A22" s="21" t="s">
        <v>25</v>
      </c>
      <c r="B22" s="23">
        <v>65</v>
      </c>
      <c r="F22" s="91">
        <f>G22/2.66*(discount_rate/100)/(1+discount_rate/100-1/((1+discount_rate)^15))</f>
        <v>62.016151489835977</v>
      </c>
      <c r="G22" s="75">
        <f>855+1029+343</f>
        <v>2227</v>
      </c>
      <c r="H22" s="75" t="s">
        <v>344</v>
      </c>
      <c r="I22" s="75"/>
      <c r="J22" s="75"/>
    </row>
    <row r="23" spans="1:10" ht="15.75" thickTop="1" x14ac:dyDescent="0.25">
      <c r="F23" s="198">
        <v>50.9</v>
      </c>
      <c r="G23" s="198"/>
      <c r="H23" s="198" t="s">
        <v>349</v>
      </c>
      <c r="I23" s="198"/>
      <c r="J23" s="198"/>
    </row>
    <row r="24" spans="1:10" x14ac:dyDescent="0.25">
      <c r="F24" s="198">
        <v>71.2</v>
      </c>
      <c r="G24" s="198"/>
      <c r="H24" s="198" t="s">
        <v>350</v>
      </c>
      <c r="I24" s="198"/>
      <c r="J24" s="198"/>
    </row>
    <row r="25" spans="1:10" ht="15.75" thickBot="1" x14ac:dyDescent="0.3">
      <c r="A25" s="41" t="s">
        <v>72</v>
      </c>
    </row>
    <row r="26" spans="1:10" ht="16.5" thickTop="1" thickBot="1" x14ac:dyDescent="0.3">
      <c r="A26" s="21" t="s">
        <v>24</v>
      </c>
      <c r="B26" s="23">
        <v>160</v>
      </c>
      <c r="F26" t="s">
        <v>29</v>
      </c>
    </row>
    <row r="27" spans="1:10" ht="16.5" thickTop="1" thickBot="1" x14ac:dyDescent="0.3">
      <c r="A27" s="21" t="s">
        <v>19</v>
      </c>
      <c r="B27" s="23">
        <f>(Cost_DirectLC_low+Cost_DirectLC_high)/2</f>
        <v>210</v>
      </c>
    </row>
    <row r="28" spans="1:10" ht="16.5" thickTop="1" thickBot="1" x14ac:dyDescent="0.3">
      <c r="A28" s="21" t="s">
        <v>25</v>
      </c>
      <c r="B28" s="23">
        <v>260</v>
      </c>
    </row>
    <row r="29" spans="1:10" ht="15.75" thickTop="1" x14ac:dyDescent="0.25">
      <c r="A29" s="21"/>
    </row>
    <row r="30" spans="1:10" x14ac:dyDescent="0.25">
      <c r="A30" s="41" t="s">
        <v>71</v>
      </c>
    </row>
    <row r="31" spans="1:10" ht="15.75" thickBot="1" x14ac:dyDescent="0.3">
      <c r="A31" s="21"/>
      <c r="B31" s="77"/>
    </row>
    <row r="32" spans="1:10" ht="16.5" thickTop="1" thickBot="1" x14ac:dyDescent="0.3">
      <c r="A32" s="21" t="s">
        <v>228</v>
      </c>
      <c r="B32" s="23">
        <v>25</v>
      </c>
      <c r="F32" t="s">
        <v>265</v>
      </c>
    </row>
    <row r="33" spans="1:6" ht="15.75" thickTop="1" x14ac:dyDescent="0.25"/>
    <row r="34" spans="1:6" ht="15.75" thickBot="1" x14ac:dyDescent="0.3">
      <c r="A34" s="1" t="s">
        <v>42</v>
      </c>
    </row>
    <row r="35" spans="1:6" ht="16.5" thickTop="1" thickBot="1" x14ac:dyDescent="0.3">
      <c r="A35" s="21" t="s">
        <v>24</v>
      </c>
      <c r="B35" s="23">
        <v>0.1</v>
      </c>
    </row>
    <row r="36" spans="1:6" ht="16.5" thickTop="1" thickBot="1" x14ac:dyDescent="0.3">
      <c r="A36" s="21" t="s">
        <v>19</v>
      </c>
      <c r="B36" s="23">
        <v>0.15</v>
      </c>
      <c r="F36" t="s">
        <v>209</v>
      </c>
    </row>
    <row r="37" spans="1:6" ht="16.5" thickTop="1" thickBot="1" x14ac:dyDescent="0.3">
      <c r="A37" s="25" t="s">
        <v>20</v>
      </c>
      <c r="B37" s="23">
        <v>0.2</v>
      </c>
    </row>
    <row r="38" spans="1:6" ht="15.75" thickTop="1" x14ac:dyDescent="0.25"/>
    <row r="41" spans="1:6" ht="15.75" thickBot="1" x14ac:dyDescent="0.3">
      <c r="A41" s="1" t="s">
        <v>199</v>
      </c>
    </row>
    <row r="42" spans="1:6" ht="16.5" thickTop="1" thickBot="1" x14ac:dyDescent="0.3">
      <c r="A42" s="21" t="s">
        <v>24</v>
      </c>
      <c r="B42" s="197">
        <f>'Summary LRMC&amp;SRMC'!B42</f>
        <v>271.27285019321818</v>
      </c>
      <c r="F42" s="107" t="s">
        <v>334</v>
      </c>
    </row>
    <row r="43" spans="1:6" ht="16.5" thickTop="1" thickBot="1" x14ac:dyDescent="0.3">
      <c r="A43" s="21" t="s">
        <v>19</v>
      </c>
      <c r="B43" s="197">
        <f>(B42+B44)/2</f>
        <v>326.27285019321818</v>
      </c>
    </row>
    <row r="44" spans="1:6" ht="16.5" thickTop="1" thickBot="1" x14ac:dyDescent="0.3">
      <c r="A44" s="25" t="s">
        <v>20</v>
      </c>
      <c r="B44" s="197">
        <f>'Summary LRMC&amp;SRMC'!C42</f>
        <v>381.27285019321818</v>
      </c>
    </row>
    <row r="45" spans="1:6" ht="15.75" thickTop="1" x14ac:dyDescent="0.25"/>
    <row r="48" spans="1:6" ht="15.75" thickBot="1" x14ac:dyDescent="0.3">
      <c r="A48" s="1" t="s">
        <v>229</v>
      </c>
    </row>
    <row r="49" spans="1:6" ht="16.5" thickTop="1" thickBot="1" x14ac:dyDescent="0.3">
      <c r="A49" s="21" t="s">
        <v>24</v>
      </c>
      <c r="B49" s="23">
        <v>15</v>
      </c>
      <c r="F49" t="s">
        <v>114</v>
      </c>
    </row>
    <row r="50" spans="1:6" ht="16.5" thickTop="1" thickBot="1" x14ac:dyDescent="0.3">
      <c r="A50" s="21" t="s">
        <v>19</v>
      </c>
      <c r="B50" s="23">
        <f>(DLC_response_low+DLC_response_high)/2</f>
        <v>20</v>
      </c>
    </row>
    <row r="51" spans="1:6" ht="16.5" thickTop="1" thickBot="1" x14ac:dyDescent="0.3">
      <c r="A51" s="25" t="s">
        <v>20</v>
      </c>
      <c r="B51" s="23">
        <v>25</v>
      </c>
    </row>
    <row r="52" spans="1:6" ht="15.75" thickTop="1" x14ac:dyDescent="0.25"/>
    <row r="54" spans="1:6" ht="15.75" thickBot="1" x14ac:dyDescent="0.3">
      <c r="A54" s="1" t="s">
        <v>341</v>
      </c>
    </row>
    <row r="55" spans="1:6" ht="16.5" thickTop="1" thickBot="1" x14ac:dyDescent="0.3">
      <c r="A55" s="21" t="s">
        <v>24</v>
      </c>
      <c r="B55" s="23">
        <v>30</v>
      </c>
      <c r="F55" t="s">
        <v>73</v>
      </c>
    </row>
    <row r="56" spans="1:6" ht="16.5" thickTop="1" thickBot="1" x14ac:dyDescent="0.3">
      <c r="A56" s="21" t="s">
        <v>19</v>
      </c>
      <c r="B56" s="23">
        <f>(B55+B57)/2</f>
        <v>65</v>
      </c>
    </row>
    <row r="57" spans="1:6" ht="16.5" thickTop="1" thickBot="1" x14ac:dyDescent="0.3">
      <c r="A57" s="25" t="s">
        <v>20</v>
      </c>
      <c r="B57" s="23">
        <v>100</v>
      </c>
    </row>
    <row r="58" spans="1:6" ht="15.75" thickTop="1" x14ac:dyDescent="0.25"/>
    <row r="60" spans="1:6" ht="15.75" thickBot="1" x14ac:dyDescent="0.3">
      <c r="A60" s="42" t="s">
        <v>74</v>
      </c>
    </row>
    <row r="61" spans="1:6" ht="16.5" thickTop="1" thickBot="1" x14ac:dyDescent="0.3">
      <c r="A61" s="21" t="s">
        <v>24</v>
      </c>
      <c r="B61" s="23">
        <v>0.02</v>
      </c>
    </row>
    <row r="62" spans="1:6" ht="16.5" thickTop="1" thickBot="1" x14ac:dyDescent="0.3">
      <c r="A62" s="21" t="s">
        <v>19</v>
      </c>
      <c r="B62" s="23">
        <v>0.05</v>
      </c>
      <c r="F62" t="s">
        <v>253</v>
      </c>
    </row>
    <row r="63" spans="1:6" ht="16.5" thickTop="1" thickBot="1" x14ac:dyDescent="0.3">
      <c r="A63" s="25" t="s">
        <v>20</v>
      </c>
      <c r="B63" s="23">
        <v>0.2</v>
      </c>
    </row>
    <row r="64" spans="1:6" ht="15.75" thickTop="1" x14ac:dyDescent="0.25"/>
    <row r="66" spans="1:6" ht="15.75" thickBot="1" x14ac:dyDescent="0.3">
      <c r="A66" s="1" t="s">
        <v>201</v>
      </c>
    </row>
    <row r="67" spans="1:6" ht="16.5" thickTop="1" thickBot="1" x14ac:dyDescent="0.3">
      <c r="A67" s="21" t="s">
        <v>24</v>
      </c>
      <c r="B67" s="23">
        <f>(44000-11000)*0.35</f>
        <v>11550</v>
      </c>
    </row>
    <row r="68" spans="1:6" ht="16.5" thickTop="1" thickBot="1" x14ac:dyDescent="0.3">
      <c r="A68" s="21" t="s">
        <v>19</v>
      </c>
      <c r="B68" s="23">
        <f>AVERAGE(PeakD_nonVic_min,PeakD_nonVic_max)</f>
        <v>13200</v>
      </c>
    </row>
    <row r="69" spans="1:6" ht="16.5" thickTop="1" thickBot="1" x14ac:dyDescent="0.3">
      <c r="A69" s="25" t="s">
        <v>20</v>
      </c>
      <c r="B69" s="23">
        <f>(44000-11000)*0.45</f>
        <v>14850</v>
      </c>
    </row>
    <row r="70" spans="1:6" ht="15.75" thickTop="1" x14ac:dyDescent="0.25"/>
    <row r="71" spans="1:6" ht="15.75" thickBot="1" x14ac:dyDescent="0.3">
      <c r="A71" s="78" t="s">
        <v>200</v>
      </c>
    </row>
    <row r="72" spans="1:6" ht="16.5" thickTop="1" thickBot="1" x14ac:dyDescent="0.3">
      <c r="A72" s="21" t="s">
        <v>24</v>
      </c>
      <c r="B72" s="197">
        <f>'Summary LRMC&amp;SRMC'!B43</f>
        <v>121.27285019321819</v>
      </c>
      <c r="F72" s="107" t="s">
        <v>334</v>
      </c>
    </row>
    <row r="73" spans="1:6" ht="16.5" thickTop="1" thickBot="1" x14ac:dyDescent="0.3">
      <c r="A73" s="21" t="s">
        <v>19</v>
      </c>
      <c r="B73" s="197">
        <f>(B72+B74)/2</f>
        <v>141.27285019321818</v>
      </c>
    </row>
    <row r="74" spans="1:6" ht="16.5" thickTop="1" thickBot="1" x14ac:dyDescent="0.3">
      <c r="A74" s="25" t="s">
        <v>20</v>
      </c>
      <c r="B74" s="197">
        <f>'Summary LRMC&amp;SRMC'!C43</f>
        <v>161.27285019321818</v>
      </c>
    </row>
    <row r="75" spans="1:6" ht="15.75" thickTop="1" x14ac:dyDescent="0.25"/>
    <row r="77" spans="1:6" ht="15.75" thickBot="1" x14ac:dyDescent="0.3">
      <c r="A77" s="78" t="s">
        <v>355</v>
      </c>
    </row>
    <row r="78" spans="1:6" ht="16.5" thickTop="1" thickBot="1" x14ac:dyDescent="0.3">
      <c r="A78" s="21" t="s">
        <v>24</v>
      </c>
      <c r="B78" s="197">
        <f>'Summary LRMC&amp;SRMC'!B67</f>
        <v>2200</v>
      </c>
      <c r="F78" s="107" t="s">
        <v>334</v>
      </c>
    </row>
    <row r="79" spans="1:6" ht="16.5" thickTop="1" thickBot="1" x14ac:dyDescent="0.3">
      <c r="A79" s="21" t="s">
        <v>19</v>
      </c>
      <c r="B79" s="23">
        <f>(B78+B80)/2</f>
        <v>2750</v>
      </c>
    </row>
    <row r="80" spans="1:6" ht="16.5" thickTop="1" thickBot="1" x14ac:dyDescent="0.3">
      <c r="A80" s="25" t="s">
        <v>20</v>
      </c>
      <c r="B80" s="197">
        <f>'Summary LRMC&amp;SRMC'!C67</f>
        <v>3300</v>
      </c>
    </row>
    <row r="81" spans="1:6" ht="16.5" thickTop="1" thickBot="1" x14ac:dyDescent="0.3"/>
    <row r="82" spans="1:6" ht="16.5" thickTop="1" thickBot="1" x14ac:dyDescent="0.3">
      <c r="A82" s="1" t="s">
        <v>40</v>
      </c>
      <c r="B82" s="23">
        <v>6200000</v>
      </c>
      <c r="F82" t="s">
        <v>205</v>
      </c>
    </row>
    <row r="83" spans="1:6" ht="15.75" thickTop="1" x14ac:dyDescent="0.25"/>
  </sheetData>
  <hyperlinks>
    <hyperlink ref="K1" location="Contents!A1" display="Back to the Contents of this spreadsheet"/>
  </hyperlink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C00000"/>
  </sheetPr>
  <dimension ref="A1:AB65"/>
  <sheetViews>
    <sheetView zoomScaleNormal="100" workbookViewId="0">
      <selection activeCell="F1" sqref="F1"/>
    </sheetView>
  </sheetViews>
  <sheetFormatPr defaultRowHeight="15" x14ac:dyDescent="0.25"/>
  <cols>
    <col min="1" max="1" width="34.7109375" customWidth="1"/>
    <col min="2" max="2" width="23.7109375" customWidth="1"/>
    <col min="3" max="3" width="24.42578125" customWidth="1"/>
    <col min="4" max="4" width="23.42578125" customWidth="1"/>
    <col min="5" max="5" width="29.28515625" bestFit="1" customWidth="1"/>
    <col min="6" max="6" width="21.7109375" bestFit="1" customWidth="1"/>
    <col min="7" max="7" width="22.140625" customWidth="1"/>
    <col min="8" max="8" width="25.28515625" customWidth="1"/>
    <col min="11" max="11" width="29.7109375" customWidth="1"/>
    <col min="12" max="12" width="19.140625" bestFit="1" customWidth="1"/>
    <col min="13" max="13" width="16.5703125" bestFit="1" customWidth="1"/>
    <col min="14" max="14" width="15.42578125" customWidth="1"/>
    <col min="15" max="15" width="23.28515625" customWidth="1"/>
    <col min="16" max="16" width="12.5703125" customWidth="1"/>
    <col min="17" max="17" width="32.42578125" customWidth="1"/>
    <col min="18" max="18" width="18.7109375" customWidth="1"/>
    <col min="21" max="21" width="18.7109375" customWidth="1"/>
    <col min="22" max="22" width="18.5703125" bestFit="1" customWidth="1"/>
    <col min="23" max="23" width="20.85546875" customWidth="1"/>
    <col min="24" max="24" width="22.42578125" customWidth="1"/>
    <col min="25" max="25" width="15.140625" bestFit="1" customWidth="1"/>
    <col min="26" max="26" width="15.140625" customWidth="1"/>
    <col min="27" max="27" width="22.85546875" customWidth="1"/>
    <col min="28" max="28" width="21" customWidth="1"/>
  </cols>
  <sheetData>
    <row r="1" spans="1:28" ht="22.5" customHeight="1" x14ac:dyDescent="0.35">
      <c r="A1" s="10" t="s">
        <v>8</v>
      </c>
      <c r="B1" s="10" t="s">
        <v>83</v>
      </c>
      <c r="F1" s="223" t="s">
        <v>389</v>
      </c>
      <c r="K1" s="10" t="s">
        <v>7</v>
      </c>
      <c r="U1" s="10" t="s">
        <v>15</v>
      </c>
    </row>
    <row r="2" spans="1:28" ht="16.149999999999999" customHeight="1" thickBot="1" x14ac:dyDescent="0.3"/>
    <row r="3" spans="1:28" ht="16.149999999999999" customHeight="1" x14ac:dyDescent="0.25">
      <c r="A3" s="24" t="s">
        <v>33</v>
      </c>
      <c r="B3" s="4">
        <v>10000</v>
      </c>
      <c r="F3" s="1"/>
      <c r="K3" s="1"/>
      <c r="L3" s="77"/>
      <c r="P3" s="1"/>
      <c r="U3" s="1"/>
      <c r="V3" s="78"/>
      <c r="Z3" s="1"/>
    </row>
    <row r="4" spans="1:28" ht="16.149999999999999" customHeight="1" x14ac:dyDescent="0.25">
      <c r="A4" s="24" t="s">
        <v>242</v>
      </c>
      <c r="B4" s="15">
        <f>meters_by_region*PeakD_nonVic_max/Meters_NonVic*1.5</f>
        <v>35.927419354838712</v>
      </c>
      <c r="C4" t="s">
        <v>86</v>
      </c>
      <c r="K4" s="1" t="s">
        <v>2</v>
      </c>
      <c r="L4" s="110">
        <f>meters_by_region*PeakD_nonVic_min/Meters_NonVic*1.5</f>
        <v>27.943548387096776</v>
      </c>
      <c r="U4" s="1" t="s">
        <v>2</v>
      </c>
      <c r="V4" s="110">
        <f t="shared" ref="V4" si="0">AVERAGE(L4,B4)</f>
        <v>31.935483870967744</v>
      </c>
    </row>
    <row r="5" spans="1:28" ht="16.149999999999999" customHeight="1" thickBot="1" x14ac:dyDescent="0.3">
      <c r="A5" s="24" t="s">
        <v>38</v>
      </c>
      <c r="B5" s="13">
        <f>price_ratio</f>
        <v>8</v>
      </c>
      <c r="C5" t="s">
        <v>41</v>
      </c>
      <c r="K5" s="1"/>
      <c r="L5" s="77"/>
      <c r="U5" s="1"/>
      <c r="V5" s="78"/>
    </row>
    <row r="6" spans="1:28" x14ac:dyDescent="0.25">
      <c r="K6" s="1"/>
      <c r="U6" s="1"/>
    </row>
    <row r="7" spans="1:28" x14ac:dyDescent="0.25">
      <c r="K7" s="1"/>
      <c r="U7" s="1"/>
    </row>
    <row r="8" spans="1:28" x14ac:dyDescent="0.25">
      <c r="A8" s="1"/>
      <c r="C8">
        <f>(1-EXP(-elasticity_high*LN(price_ratio)))*B$4*(A12-A$11+1)/(A$17-A$11+1)</f>
        <v>3.4926178081875077</v>
      </c>
      <c r="K8" s="1"/>
      <c r="U8" s="1"/>
    </row>
    <row r="10" spans="1:28" x14ac:dyDescent="0.25">
      <c r="A10" s="1" t="s">
        <v>0</v>
      </c>
      <c r="B10" s="1" t="s">
        <v>4</v>
      </c>
      <c r="C10" s="1" t="s">
        <v>9</v>
      </c>
      <c r="D10" s="1" t="s">
        <v>10</v>
      </c>
      <c r="E10" s="1" t="s">
        <v>11</v>
      </c>
      <c r="F10" s="1" t="s">
        <v>3</v>
      </c>
      <c r="G10" s="1" t="s">
        <v>6</v>
      </c>
      <c r="H10" s="1" t="s">
        <v>5</v>
      </c>
      <c r="K10" s="1" t="s">
        <v>0</v>
      </c>
      <c r="L10" s="1" t="s">
        <v>4</v>
      </c>
      <c r="M10" s="1" t="s">
        <v>9</v>
      </c>
      <c r="N10" s="1" t="s">
        <v>10</v>
      </c>
      <c r="O10" s="1" t="s">
        <v>11</v>
      </c>
      <c r="P10" s="1" t="s">
        <v>3</v>
      </c>
      <c r="Q10" s="1" t="s">
        <v>6</v>
      </c>
      <c r="R10" s="1" t="s">
        <v>5</v>
      </c>
      <c r="U10" s="1" t="s">
        <v>0</v>
      </c>
      <c r="V10" s="1" t="s">
        <v>4</v>
      </c>
      <c r="W10" s="1" t="s">
        <v>9</v>
      </c>
      <c r="X10" s="1" t="s">
        <v>10</v>
      </c>
      <c r="Y10" s="1" t="s">
        <v>11</v>
      </c>
      <c r="Z10" s="1" t="s">
        <v>3</v>
      </c>
      <c r="AA10" s="1" t="s">
        <v>6</v>
      </c>
      <c r="AB10" s="1" t="s">
        <v>5</v>
      </c>
    </row>
    <row r="11" spans="1:28" x14ac:dyDescent="0.25">
      <c r="A11">
        <v>0</v>
      </c>
      <c r="B11" s="3">
        <f>meters_by_region*-smart_meter_costs_low</f>
        <v>-2700000</v>
      </c>
      <c r="C11" s="80">
        <f>savings_high*1000*(1-EXP(-elasticity_high*LN(price_ratio)))*B$4*(A11-A$11+1)/(A$17-A$11+1)</f>
        <v>665820.17318162066</v>
      </c>
      <c r="D11" s="2">
        <f t="shared" ref="D11:D25" si="1">-yrly_opex_low*meters_by_region</f>
        <v>-200000</v>
      </c>
      <c r="E11">
        <v>0</v>
      </c>
      <c r="F11" s="7">
        <f t="shared" ref="F11:F25" si="2">1/((1+discount_rate/100)^($A11+0.5))</f>
        <v>0.96225044864937614</v>
      </c>
      <c r="G11" s="3">
        <f>F11*(B11+D11)</f>
        <v>-2790526.3010831908</v>
      </c>
      <c r="H11" s="12">
        <f>F11*(C11+E11)</f>
        <v>640685.76036381978</v>
      </c>
      <c r="K11">
        <v>0</v>
      </c>
      <c r="L11" s="3">
        <f>meters_by_region*-smart_meter_costs_high</f>
        <v>-8000000</v>
      </c>
      <c r="M11" s="80">
        <f t="shared" ref="M11:M17" si="3">savings_low*1000*(1-EXP(-elasticity_low*LN(price_ratio)))*L$4*(K11-K$11+1)/(K$17-K$11+1)</f>
        <v>203312.57774926102</v>
      </c>
      <c r="N11" s="2">
        <f t="shared" ref="N11:N25" si="4">-yrly_opex_high*meters_by_region</f>
        <v>-300000</v>
      </c>
      <c r="O11">
        <v>0</v>
      </c>
      <c r="P11" s="7">
        <f>F11</f>
        <v>0.96225044864937614</v>
      </c>
      <c r="Q11" s="3">
        <f>P11*(L11+N11)</f>
        <v>-7986678.7237898223</v>
      </c>
      <c r="R11" s="12">
        <f>P11*(M11+O11)</f>
        <v>195637.6191552876</v>
      </c>
      <c r="U11">
        <v>0</v>
      </c>
      <c r="V11" s="3">
        <f>meters_by_region*-smart_meter_costs_medium</f>
        <v>-5350000</v>
      </c>
      <c r="W11" s="80">
        <f t="shared" ref="W11:W17" si="5">savings_medium*1000*(1-EXP(-elasticity_medium*LN(price_ratio)))*V$4*(U11-U$11+1)/(U$17-U$11+1)</f>
        <v>398861.16260070133</v>
      </c>
      <c r="X11" s="2">
        <f t="shared" ref="X11:X25" si="6">-yrly_opex_medium*meters_by_region</f>
        <v>-250000</v>
      </c>
      <c r="Y11">
        <v>0</v>
      </c>
      <c r="Z11" s="7">
        <f>F11</f>
        <v>0.96225044864937614</v>
      </c>
      <c r="AA11" s="3">
        <f>Z11*(V11+X11)</f>
        <v>-5388602.5124365063</v>
      </c>
      <c r="AB11" s="12">
        <f>Z11*(W11+Y11)</f>
        <v>383804.33266133664</v>
      </c>
    </row>
    <row r="12" spans="1:28" x14ac:dyDescent="0.25">
      <c r="A12">
        <v>1</v>
      </c>
      <c r="B12" s="3">
        <v>0</v>
      </c>
      <c r="C12" s="80">
        <f>savings_high*1000*(1-EXP(-elasticity_high*LN(price_ratio)))*B$4*(A12-A$11+1)/(A$17-A$11+1)</f>
        <v>1331640.3463632413</v>
      </c>
      <c r="D12" s="2">
        <f t="shared" si="1"/>
        <v>-200000</v>
      </c>
      <c r="E12">
        <v>0</v>
      </c>
      <c r="F12" s="7">
        <f t="shared" si="2"/>
        <v>0.89097263763831136</v>
      </c>
      <c r="G12" s="3">
        <f t="shared" ref="G12:G25" si="7">F12*(B12+D12)</f>
        <v>-178194.52752766229</v>
      </c>
      <c r="H12" s="12">
        <f t="shared" ref="H12:H25" si="8">F12*(C12+E12)</f>
        <v>1186455.1117848516</v>
      </c>
      <c r="K12">
        <v>1</v>
      </c>
      <c r="L12" s="3">
        <v>0</v>
      </c>
      <c r="M12" s="80">
        <f t="shared" si="3"/>
        <v>406625.15549852204</v>
      </c>
      <c r="N12" s="2">
        <f t="shared" si="4"/>
        <v>-300000</v>
      </c>
      <c r="O12">
        <v>0</v>
      </c>
      <c r="P12" s="7">
        <f t="shared" ref="P12:P25" si="9">F12</f>
        <v>0.89097263763831136</v>
      </c>
      <c r="Q12" s="3">
        <f>P12*(L12+N12)</f>
        <v>-267291.7912914934</v>
      </c>
      <c r="R12" s="12">
        <f t="shared" ref="R12:R25" si="10">P12*(M12+O12)</f>
        <v>362291.88732460671</v>
      </c>
      <c r="U12">
        <v>1</v>
      </c>
      <c r="V12" s="3">
        <v>0</v>
      </c>
      <c r="W12" s="80">
        <f t="shared" si="5"/>
        <v>797722.32520140265</v>
      </c>
      <c r="X12" s="2">
        <f t="shared" si="6"/>
        <v>-250000</v>
      </c>
      <c r="Y12">
        <v>0</v>
      </c>
      <c r="Z12" s="7">
        <f t="shared" ref="Z12:Z25" si="11">F12</f>
        <v>0.89097263763831136</v>
      </c>
      <c r="AA12" s="3">
        <f t="shared" ref="AA12:AA25" si="12">Z12*(V12+X12)</f>
        <v>-222743.15940957784</v>
      </c>
      <c r="AB12" s="12">
        <f t="shared" ref="AB12:AB25" si="13">Z12*(W12+Y12)</f>
        <v>710748.76418766053</v>
      </c>
    </row>
    <row r="13" spans="1:28" x14ac:dyDescent="0.25">
      <c r="A13">
        <v>2</v>
      </c>
      <c r="B13" s="3">
        <v>0</v>
      </c>
      <c r="C13" s="80">
        <f t="shared" ref="C13:C17" si="14">savings_high*1000*(1-EXP(-elasticity_high*LN(price_ratio)))*B$4*(A13-A$11+1)/(A$17-A$11+1)</f>
        <v>1997460.5195448622</v>
      </c>
      <c r="D13" s="2">
        <f t="shared" si="1"/>
        <v>-200000</v>
      </c>
      <c r="E13" s="2">
        <f t="shared" ref="E13:E25" si="15">business_eff_high*meters_by_region</f>
        <v>650000</v>
      </c>
      <c r="F13" s="7">
        <f t="shared" si="2"/>
        <v>0.82497466447991774</v>
      </c>
      <c r="G13" s="3">
        <f t="shared" si="7"/>
        <v>-164994.93289598354</v>
      </c>
      <c r="H13" s="12">
        <f t="shared" si="8"/>
        <v>2184087.8538353513</v>
      </c>
      <c r="K13">
        <v>2</v>
      </c>
      <c r="L13" s="3">
        <v>0</v>
      </c>
      <c r="M13" s="80">
        <f t="shared" si="3"/>
        <v>609937.73324778304</v>
      </c>
      <c r="N13" s="2">
        <f t="shared" si="4"/>
        <v>-300000</v>
      </c>
      <c r="O13" s="2">
        <f t="shared" ref="O13:O25" si="16">business_eff_low*meters_by_region</f>
        <v>500000</v>
      </c>
      <c r="P13" s="7">
        <f t="shared" si="9"/>
        <v>0.82497466447991774</v>
      </c>
      <c r="Q13" s="3">
        <f t="shared" ref="Q13:Q25" si="17">P13*(L13+N13)</f>
        <v>-247492.39934397532</v>
      </c>
      <c r="R13" s="12">
        <f>P13*(M13+O13)</f>
        <v>915670.50907969021</v>
      </c>
      <c r="U13">
        <v>2</v>
      </c>
      <c r="V13" s="3">
        <v>0</v>
      </c>
      <c r="W13" s="80">
        <f t="shared" si="5"/>
        <v>1196583.4878021039</v>
      </c>
      <c r="X13" s="2">
        <f t="shared" si="6"/>
        <v>-250000</v>
      </c>
      <c r="Y13" s="2">
        <f t="shared" ref="Y13:Y25" si="18">business_eff_medium*meters_by_region</f>
        <v>575000</v>
      </c>
      <c r="Z13" s="7">
        <f t="shared" si="11"/>
        <v>0.82497466447991774</v>
      </c>
      <c r="AA13" s="3">
        <f t="shared" si="12"/>
        <v>-206243.66611997943</v>
      </c>
      <c r="AB13" s="12">
        <f t="shared" si="13"/>
        <v>1461511.4934477031</v>
      </c>
    </row>
    <row r="14" spans="1:28" ht="15" customHeight="1" x14ac:dyDescent="0.25">
      <c r="A14">
        <v>3</v>
      </c>
      <c r="B14" s="3">
        <v>0</v>
      </c>
      <c r="C14" s="80">
        <f t="shared" si="14"/>
        <v>2663280.6927264826</v>
      </c>
      <c r="D14" s="2">
        <f t="shared" si="1"/>
        <v>-200000</v>
      </c>
      <c r="E14" s="2">
        <f t="shared" si="15"/>
        <v>650000</v>
      </c>
      <c r="F14" s="7">
        <f t="shared" si="2"/>
        <v>0.76386543007399788</v>
      </c>
      <c r="G14" s="3">
        <f t="shared" si="7"/>
        <v>-152773.08601479957</v>
      </c>
      <c r="H14" s="12">
        <f t="shared" si="8"/>
        <v>2530900.5813053884</v>
      </c>
      <c r="K14">
        <v>3</v>
      </c>
      <c r="L14" s="3">
        <v>0</v>
      </c>
      <c r="M14" s="80">
        <f t="shared" si="3"/>
        <v>813250.31099704409</v>
      </c>
      <c r="N14" s="2">
        <f t="shared" si="4"/>
        <v>-300000</v>
      </c>
      <c r="O14" s="2">
        <f t="shared" si="16"/>
        <v>500000</v>
      </c>
      <c r="P14" s="7">
        <f t="shared" si="9"/>
        <v>0.76386543007399788</v>
      </c>
      <c r="Q14" s="3">
        <f t="shared" si="17"/>
        <v>-229159.62902219937</v>
      </c>
      <c r="R14" s="12">
        <f t="shared" si="10"/>
        <v>1003146.5136045687</v>
      </c>
      <c r="U14">
        <v>3</v>
      </c>
      <c r="V14" s="3">
        <v>0</v>
      </c>
      <c r="W14" s="80">
        <f t="shared" si="5"/>
        <v>1595444.6504028053</v>
      </c>
      <c r="X14" s="2">
        <f t="shared" si="6"/>
        <v>-250000</v>
      </c>
      <c r="Y14" s="2">
        <f t="shared" si="18"/>
        <v>575000</v>
      </c>
      <c r="Z14" s="7">
        <f t="shared" si="11"/>
        <v>0.76386543007399788</v>
      </c>
      <c r="AA14" s="3">
        <f t="shared" si="12"/>
        <v>-190966.35751849946</v>
      </c>
      <c r="AB14" s="12">
        <f t="shared" si="13"/>
        <v>1657927.6363317468</v>
      </c>
    </row>
    <row r="15" spans="1:28" x14ac:dyDescent="0.25">
      <c r="A15">
        <v>4</v>
      </c>
      <c r="B15" s="3">
        <v>0</v>
      </c>
      <c r="C15" s="80">
        <f t="shared" si="14"/>
        <v>3329100.8659081035</v>
      </c>
      <c r="D15" s="2">
        <f t="shared" si="1"/>
        <v>-200000</v>
      </c>
      <c r="E15" s="2">
        <f t="shared" si="15"/>
        <v>650000</v>
      </c>
      <c r="F15" s="7">
        <f t="shared" si="2"/>
        <v>0.70728280562407209</v>
      </c>
      <c r="G15" s="3">
        <f t="shared" si="7"/>
        <v>-141456.56112481441</v>
      </c>
      <c r="H15" s="12">
        <f t="shared" si="8"/>
        <v>2814349.6243006582</v>
      </c>
      <c r="K15">
        <v>4</v>
      </c>
      <c r="L15" s="3">
        <v>0</v>
      </c>
      <c r="M15" s="80">
        <f t="shared" si="3"/>
        <v>1016562.8887463053</v>
      </c>
      <c r="N15" s="2">
        <f t="shared" si="4"/>
        <v>-300000</v>
      </c>
      <c r="O15" s="2">
        <f t="shared" si="16"/>
        <v>500000</v>
      </c>
      <c r="P15" s="7">
        <f t="shared" si="9"/>
        <v>0.70728280562407209</v>
      </c>
      <c r="Q15" s="3">
        <f t="shared" si="17"/>
        <v>-212184.84168722163</v>
      </c>
      <c r="R15" s="12">
        <f t="shared" si="10"/>
        <v>1072638.8548578343</v>
      </c>
      <c r="U15">
        <v>4</v>
      </c>
      <c r="V15" s="3">
        <v>0</v>
      </c>
      <c r="W15" s="80">
        <f t="shared" si="5"/>
        <v>1994305.8130035067</v>
      </c>
      <c r="X15" s="2">
        <f t="shared" si="6"/>
        <v>-250000</v>
      </c>
      <c r="Y15" s="2">
        <f t="shared" si="18"/>
        <v>575000</v>
      </c>
      <c r="Z15" s="7">
        <f t="shared" si="11"/>
        <v>0.70728280562407209</v>
      </c>
      <c r="AA15" s="3">
        <f t="shared" si="12"/>
        <v>-176820.70140601802</v>
      </c>
      <c r="AB15" s="12">
        <f t="shared" si="13"/>
        <v>1817225.8239273576</v>
      </c>
    </row>
    <row r="16" spans="1:28" x14ac:dyDescent="0.25">
      <c r="A16">
        <v>5</v>
      </c>
      <c r="B16" s="3">
        <v>0</v>
      </c>
      <c r="C16" s="80">
        <f t="shared" si="14"/>
        <v>3994921.0390897244</v>
      </c>
      <c r="D16" s="2">
        <f t="shared" si="1"/>
        <v>-200000</v>
      </c>
      <c r="E16" s="2">
        <f t="shared" si="15"/>
        <v>650000</v>
      </c>
      <c r="F16" s="7">
        <f t="shared" si="2"/>
        <v>0.65489148668895558</v>
      </c>
      <c r="G16" s="3">
        <f t="shared" si="7"/>
        <v>-130978.29733779111</v>
      </c>
      <c r="H16" s="12">
        <f t="shared" si="8"/>
        <v>3041919.2448422778</v>
      </c>
      <c r="K16">
        <v>5</v>
      </c>
      <c r="L16" s="3">
        <v>0</v>
      </c>
      <c r="M16" s="80">
        <f t="shared" si="3"/>
        <v>1219875.4664955661</v>
      </c>
      <c r="N16" s="2">
        <f t="shared" si="4"/>
        <v>-300000</v>
      </c>
      <c r="O16" s="2">
        <f t="shared" si="16"/>
        <v>500000</v>
      </c>
      <c r="P16" s="7">
        <f t="shared" si="9"/>
        <v>0.65489148668895558</v>
      </c>
      <c r="Q16" s="3">
        <f t="shared" si="17"/>
        <v>-196467.44600668669</v>
      </c>
      <c r="R16" s="12">
        <f t="shared" si="10"/>
        <v>1126331.8011731424</v>
      </c>
      <c r="U16">
        <v>5</v>
      </c>
      <c r="V16" s="3">
        <v>0</v>
      </c>
      <c r="W16" s="80">
        <f t="shared" si="5"/>
        <v>2393166.9756042077</v>
      </c>
      <c r="X16" s="2">
        <f t="shared" si="6"/>
        <v>-250000</v>
      </c>
      <c r="Y16" s="2">
        <f t="shared" si="18"/>
        <v>575000</v>
      </c>
      <c r="Z16" s="7">
        <f t="shared" si="11"/>
        <v>0.65489148668895558</v>
      </c>
      <c r="AA16" s="3">
        <f t="shared" si="12"/>
        <v>-163722.87167223889</v>
      </c>
      <c r="AB16" s="12">
        <f t="shared" si="13"/>
        <v>1943827.2833945006</v>
      </c>
    </row>
    <row r="17" spans="1:28" x14ac:dyDescent="0.25">
      <c r="A17">
        <v>6</v>
      </c>
      <c r="B17" s="3">
        <v>0</v>
      </c>
      <c r="C17" s="80">
        <f t="shared" si="14"/>
        <v>4660741.2122713448</v>
      </c>
      <c r="D17" s="2">
        <f t="shared" si="1"/>
        <v>-200000</v>
      </c>
      <c r="E17" s="2">
        <f t="shared" si="15"/>
        <v>650000</v>
      </c>
      <c r="F17" s="7">
        <f t="shared" si="2"/>
        <v>0.60638100619347735</v>
      </c>
      <c r="G17" s="3">
        <f t="shared" si="7"/>
        <v>-121276.20123869547</v>
      </c>
      <c r="H17" s="12">
        <f t="shared" si="8"/>
        <v>3220332.5999302659</v>
      </c>
      <c r="K17">
        <v>6</v>
      </c>
      <c r="L17" s="3">
        <v>0</v>
      </c>
      <c r="M17" s="80">
        <f t="shared" si="3"/>
        <v>1423188.0442448272</v>
      </c>
      <c r="N17" s="2">
        <f t="shared" si="4"/>
        <v>-300000</v>
      </c>
      <c r="O17" s="2">
        <f t="shared" si="16"/>
        <v>500000</v>
      </c>
      <c r="P17" s="7">
        <f t="shared" si="9"/>
        <v>0.60638100619347735</v>
      </c>
      <c r="Q17" s="3">
        <f t="shared" si="17"/>
        <v>-181914.30185804321</v>
      </c>
      <c r="R17" s="12">
        <f t="shared" si="10"/>
        <v>1166184.7013684441</v>
      </c>
      <c r="U17">
        <v>6</v>
      </c>
      <c r="V17" s="3">
        <v>0</v>
      </c>
      <c r="W17" s="80">
        <f t="shared" si="5"/>
        <v>2792028.1382049094</v>
      </c>
      <c r="X17" s="2">
        <f t="shared" si="6"/>
        <v>-250000</v>
      </c>
      <c r="Y17" s="2">
        <f t="shared" si="18"/>
        <v>575000</v>
      </c>
      <c r="Z17" s="7">
        <f t="shared" si="11"/>
        <v>0.60638100619347735</v>
      </c>
      <c r="AA17" s="3">
        <f t="shared" si="12"/>
        <v>-151595.25154836933</v>
      </c>
      <c r="AB17" s="12">
        <f t="shared" si="13"/>
        <v>2041701.9103264436</v>
      </c>
    </row>
    <row r="18" spans="1:28" x14ac:dyDescent="0.25">
      <c r="A18">
        <v>7</v>
      </c>
      <c r="B18" s="3">
        <f>-IT_update_low*meters_by_region</f>
        <v>-1000000</v>
      </c>
      <c r="C18" s="3">
        <f>C17</f>
        <v>4660741.2122713448</v>
      </c>
      <c r="D18" s="2">
        <f t="shared" si="1"/>
        <v>-200000</v>
      </c>
      <c r="E18" s="2">
        <f t="shared" si="15"/>
        <v>650000</v>
      </c>
      <c r="F18" s="7">
        <f t="shared" si="2"/>
        <v>0.56146389462359003</v>
      </c>
      <c r="G18" s="3">
        <f t="shared" si="7"/>
        <v>-673756.67354830808</v>
      </c>
      <c r="H18" s="12">
        <f t="shared" si="8"/>
        <v>2981789.444379875</v>
      </c>
      <c r="K18">
        <v>7</v>
      </c>
      <c r="L18" s="3">
        <f>-IT_update_high*meters_by_region</f>
        <v>-1500000</v>
      </c>
      <c r="M18" s="3">
        <f>M17</f>
        <v>1423188.0442448272</v>
      </c>
      <c r="N18" s="2">
        <f t="shared" si="4"/>
        <v>-300000</v>
      </c>
      <c r="O18" s="2">
        <f t="shared" si="16"/>
        <v>500000</v>
      </c>
      <c r="P18" s="7">
        <f t="shared" si="9"/>
        <v>0.56146389462359003</v>
      </c>
      <c r="Q18" s="3">
        <f t="shared" si="17"/>
        <v>-1010635.0103224621</v>
      </c>
      <c r="R18" s="12">
        <f t="shared" si="10"/>
        <v>1079800.649415226</v>
      </c>
      <c r="U18">
        <v>7</v>
      </c>
      <c r="V18" s="3">
        <f>-IT_update_medium*meters_by_region</f>
        <v>-1250000</v>
      </c>
      <c r="W18" s="3">
        <f>W17</f>
        <v>2792028.1382049094</v>
      </c>
      <c r="X18" s="2">
        <f t="shared" si="6"/>
        <v>-250000</v>
      </c>
      <c r="Y18" s="2">
        <f t="shared" si="18"/>
        <v>575000</v>
      </c>
      <c r="Z18" s="7">
        <f t="shared" si="11"/>
        <v>0.56146389462359003</v>
      </c>
      <c r="AA18" s="3">
        <f t="shared" si="12"/>
        <v>-842195.84193538502</v>
      </c>
      <c r="AB18" s="12">
        <f t="shared" si="13"/>
        <v>1890464.7317837437</v>
      </c>
    </row>
    <row r="19" spans="1:28" x14ac:dyDescent="0.25">
      <c r="A19">
        <v>8</v>
      </c>
      <c r="B19" s="3">
        <v>0</v>
      </c>
      <c r="C19" s="80">
        <f t="shared" ref="C19:C25" si="19">C18</f>
        <v>4660741.2122713448</v>
      </c>
      <c r="D19" s="2">
        <f t="shared" si="1"/>
        <v>-200000</v>
      </c>
      <c r="E19" s="2">
        <f t="shared" si="15"/>
        <v>650000</v>
      </c>
      <c r="F19" s="7">
        <f t="shared" si="2"/>
        <v>0.51987397650332412</v>
      </c>
      <c r="G19" s="3">
        <f t="shared" si="7"/>
        <v>-103974.79530066482</v>
      </c>
      <c r="H19" s="12">
        <f t="shared" si="8"/>
        <v>2760916.1522035883</v>
      </c>
      <c r="K19">
        <v>8</v>
      </c>
      <c r="L19" s="3">
        <v>0</v>
      </c>
      <c r="M19" s="3">
        <f>M18</f>
        <v>1423188.0442448272</v>
      </c>
      <c r="N19" s="2">
        <f t="shared" si="4"/>
        <v>-300000</v>
      </c>
      <c r="O19" s="2">
        <f t="shared" si="16"/>
        <v>500000</v>
      </c>
      <c r="P19" s="7">
        <f t="shared" si="9"/>
        <v>0.51987397650332412</v>
      </c>
      <c r="Q19" s="3">
        <f t="shared" si="17"/>
        <v>-155962.19295099724</v>
      </c>
      <c r="R19" s="12">
        <f t="shared" si="10"/>
        <v>999815.41612520919</v>
      </c>
      <c r="U19">
        <v>8</v>
      </c>
      <c r="V19" s="3">
        <v>0</v>
      </c>
      <c r="W19" s="3">
        <f>W18</f>
        <v>2792028.1382049094</v>
      </c>
      <c r="X19" s="2">
        <f t="shared" si="6"/>
        <v>-250000</v>
      </c>
      <c r="Y19" s="2">
        <f t="shared" si="18"/>
        <v>575000</v>
      </c>
      <c r="Z19" s="7">
        <f t="shared" si="11"/>
        <v>0.51987397650332412</v>
      </c>
      <c r="AA19" s="3">
        <f t="shared" si="12"/>
        <v>-129968.49412583103</v>
      </c>
      <c r="AB19" s="12">
        <f t="shared" si="13"/>
        <v>1750430.3072071702</v>
      </c>
    </row>
    <row r="20" spans="1:28" x14ac:dyDescent="0.25">
      <c r="A20">
        <v>9</v>
      </c>
      <c r="B20" s="3">
        <v>0</v>
      </c>
      <c r="C20" s="80">
        <f t="shared" si="19"/>
        <v>4660741.2122713448</v>
      </c>
      <c r="D20" s="2">
        <f t="shared" si="1"/>
        <v>-200000</v>
      </c>
      <c r="E20" s="2">
        <f t="shared" si="15"/>
        <v>650000</v>
      </c>
      <c r="F20" s="7">
        <f t="shared" si="2"/>
        <v>0.48136479305863344</v>
      </c>
      <c r="G20" s="3">
        <f t="shared" si="7"/>
        <v>-96272.958611726688</v>
      </c>
      <c r="H20" s="12">
        <f t="shared" si="8"/>
        <v>2556403.844632952</v>
      </c>
      <c r="K20">
        <v>9</v>
      </c>
      <c r="L20" s="3">
        <v>0</v>
      </c>
      <c r="M20" s="3">
        <f t="shared" ref="M20:M25" si="20">M19</f>
        <v>1423188.0442448272</v>
      </c>
      <c r="N20" s="2">
        <f t="shared" si="4"/>
        <v>-300000</v>
      </c>
      <c r="O20" s="2">
        <f t="shared" si="16"/>
        <v>500000</v>
      </c>
      <c r="P20" s="7">
        <f t="shared" si="9"/>
        <v>0.48136479305863344</v>
      </c>
      <c r="Q20" s="3">
        <f t="shared" si="17"/>
        <v>-144409.43791759002</v>
      </c>
      <c r="R20" s="12">
        <f t="shared" si="10"/>
        <v>925755.0149307492</v>
      </c>
      <c r="U20">
        <v>9</v>
      </c>
      <c r="V20" s="3">
        <v>0</v>
      </c>
      <c r="W20" s="3">
        <f t="shared" ref="W20:W25" si="21">W19</f>
        <v>2792028.1382049094</v>
      </c>
      <c r="X20" s="2">
        <f t="shared" si="6"/>
        <v>-250000</v>
      </c>
      <c r="Y20" s="2">
        <f t="shared" si="18"/>
        <v>575000</v>
      </c>
      <c r="Z20" s="7">
        <f t="shared" si="11"/>
        <v>0.48136479305863344</v>
      </c>
      <c r="AA20" s="3">
        <f t="shared" si="12"/>
        <v>-120341.19826465836</v>
      </c>
      <c r="AB20" s="12">
        <f t="shared" si="13"/>
        <v>1620768.8029696022</v>
      </c>
    </row>
    <row r="21" spans="1:28" x14ac:dyDescent="0.25">
      <c r="A21">
        <v>10</v>
      </c>
      <c r="B21" s="3">
        <v>0</v>
      </c>
      <c r="C21" s="80">
        <f t="shared" si="19"/>
        <v>4660741.2122713448</v>
      </c>
      <c r="D21" s="2">
        <f t="shared" si="1"/>
        <v>-200000</v>
      </c>
      <c r="E21" s="2">
        <f t="shared" si="15"/>
        <v>650000</v>
      </c>
      <c r="F21" s="7">
        <f t="shared" si="2"/>
        <v>0.44570814172095685</v>
      </c>
      <c r="G21" s="3">
        <f t="shared" si="7"/>
        <v>-89141.628344191369</v>
      </c>
      <c r="H21" s="12">
        <f t="shared" si="8"/>
        <v>2367040.5968823629</v>
      </c>
      <c r="K21">
        <v>10</v>
      </c>
      <c r="L21" s="3">
        <v>0</v>
      </c>
      <c r="M21" s="3">
        <f t="shared" si="20"/>
        <v>1423188.0442448272</v>
      </c>
      <c r="N21" s="2">
        <f t="shared" si="4"/>
        <v>-300000</v>
      </c>
      <c r="O21" s="2">
        <f t="shared" si="16"/>
        <v>500000</v>
      </c>
      <c r="P21" s="7">
        <f t="shared" si="9"/>
        <v>0.44570814172095685</v>
      </c>
      <c r="Q21" s="3">
        <f t="shared" si="17"/>
        <v>-133712.44251628706</v>
      </c>
      <c r="R21" s="12">
        <f t="shared" si="10"/>
        <v>857180.56938032329</v>
      </c>
      <c r="U21">
        <v>10</v>
      </c>
      <c r="V21" s="3">
        <v>0</v>
      </c>
      <c r="W21" s="3">
        <f t="shared" si="21"/>
        <v>2792028.1382049094</v>
      </c>
      <c r="X21" s="2">
        <f t="shared" si="6"/>
        <v>-250000</v>
      </c>
      <c r="Y21" s="2">
        <f t="shared" si="18"/>
        <v>575000</v>
      </c>
      <c r="Z21" s="7">
        <f t="shared" si="11"/>
        <v>0.44570814172095685</v>
      </c>
      <c r="AA21" s="3">
        <f t="shared" si="12"/>
        <v>-111427.03543023921</v>
      </c>
      <c r="AB21" s="12">
        <f t="shared" si="13"/>
        <v>1500711.8546014833</v>
      </c>
    </row>
    <row r="22" spans="1:28" x14ac:dyDescent="0.25">
      <c r="A22">
        <v>11</v>
      </c>
      <c r="B22" s="3">
        <v>0</v>
      </c>
      <c r="C22" s="80">
        <f t="shared" si="19"/>
        <v>4660741.2122713448</v>
      </c>
      <c r="D22" s="2">
        <f t="shared" si="1"/>
        <v>-200000</v>
      </c>
      <c r="E22" s="2">
        <f t="shared" si="15"/>
        <v>650000</v>
      </c>
      <c r="F22" s="7">
        <f t="shared" si="2"/>
        <v>0.41269272381570077</v>
      </c>
      <c r="G22" s="3">
        <f t="shared" si="7"/>
        <v>-82538.544763140148</v>
      </c>
      <c r="H22" s="12">
        <f t="shared" si="8"/>
        <v>2191704.256372558</v>
      </c>
      <c r="K22">
        <v>11</v>
      </c>
      <c r="L22" s="3">
        <v>0</v>
      </c>
      <c r="M22" s="3">
        <f t="shared" si="20"/>
        <v>1423188.0442448272</v>
      </c>
      <c r="N22" s="2">
        <f t="shared" si="4"/>
        <v>-300000</v>
      </c>
      <c r="O22" s="2">
        <f t="shared" si="16"/>
        <v>500000</v>
      </c>
      <c r="P22" s="7">
        <f t="shared" si="9"/>
        <v>0.41269272381570077</v>
      </c>
      <c r="Q22" s="3">
        <f t="shared" si="17"/>
        <v>-123807.81714471024</v>
      </c>
      <c r="R22" s="12">
        <f t="shared" si="10"/>
        <v>793685.71238918824</v>
      </c>
      <c r="U22">
        <v>11</v>
      </c>
      <c r="V22" s="3">
        <v>0</v>
      </c>
      <c r="W22" s="3">
        <f t="shared" si="21"/>
        <v>2792028.1382049094</v>
      </c>
      <c r="X22" s="2">
        <f t="shared" si="6"/>
        <v>-250000</v>
      </c>
      <c r="Y22" s="2">
        <f t="shared" si="18"/>
        <v>575000</v>
      </c>
      <c r="Z22" s="7">
        <f t="shared" si="11"/>
        <v>0.41269272381570077</v>
      </c>
      <c r="AA22" s="3">
        <f t="shared" si="12"/>
        <v>-103173.1809539252</v>
      </c>
      <c r="AB22" s="12">
        <f t="shared" si="13"/>
        <v>1389548.0135198918</v>
      </c>
    </row>
    <row r="23" spans="1:28" x14ac:dyDescent="0.25">
      <c r="A23">
        <v>12</v>
      </c>
      <c r="B23" s="3">
        <v>0</v>
      </c>
      <c r="C23" s="80">
        <f t="shared" si="19"/>
        <v>4660741.2122713448</v>
      </c>
      <c r="D23" s="2">
        <f t="shared" si="1"/>
        <v>-200000</v>
      </c>
      <c r="E23" s="2">
        <f t="shared" si="15"/>
        <v>650000</v>
      </c>
      <c r="F23" s="7">
        <f t="shared" si="2"/>
        <v>0.38212289242194514</v>
      </c>
      <c r="G23" s="3">
        <f t="shared" si="7"/>
        <v>-76424.578484389029</v>
      </c>
      <c r="H23" s="12">
        <f t="shared" si="8"/>
        <v>2029355.7929375537</v>
      </c>
      <c r="K23">
        <v>12</v>
      </c>
      <c r="L23" s="3">
        <v>0</v>
      </c>
      <c r="M23" s="3">
        <f t="shared" si="20"/>
        <v>1423188.0442448272</v>
      </c>
      <c r="N23" s="2">
        <f t="shared" si="4"/>
        <v>-300000</v>
      </c>
      <c r="O23" s="2">
        <f t="shared" si="16"/>
        <v>500000</v>
      </c>
      <c r="P23" s="7">
        <f t="shared" si="9"/>
        <v>0.38212289242194514</v>
      </c>
      <c r="Q23" s="3">
        <f t="shared" si="17"/>
        <v>-114636.86772658354</v>
      </c>
      <c r="R23" s="12">
        <f t="shared" si="10"/>
        <v>734894.17813813721</v>
      </c>
      <c r="U23">
        <v>12</v>
      </c>
      <c r="V23" s="3">
        <v>0</v>
      </c>
      <c r="W23" s="3">
        <f t="shared" si="21"/>
        <v>2792028.1382049094</v>
      </c>
      <c r="X23" s="2">
        <f t="shared" si="6"/>
        <v>-250000</v>
      </c>
      <c r="Y23" s="2">
        <f t="shared" si="18"/>
        <v>575000</v>
      </c>
      <c r="Z23" s="7">
        <f t="shared" si="11"/>
        <v>0.38212289242194514</v>
      </c>
      <c r="AA23" s="3">
        <f t="shared" si="12"/>
        <v>-95530.723105486279</v>
      </c>
      <c r="AB23" s="12">
        <f t="shared" si="13"/>
        <v>1286618.5310369369</v>
      </c>
    </row>
    <row r="24" spans="1:28" x14ac:dyDescent="0.25">
      <c r="A24">
        <v>13</v>
      </c>
      <c r="B24" s="3">
        <v>0</v>
      </c>
      <c r="C24" s="80">
        <f t="shared" si="19"/>
        <v>4660741.2122713448</v>
      </c>
      <c r="D24" s="2">
        <f t="shared" si="1"/>
        <v>-200000</v>
      </c>
      <c r="E24" s="2">
        <f t="shared" si="15"/>
        <v>650000</v>
      </c>
      <c r="F24" s="7">
        <f t="shared" si="2"/>
        <v>0.35381749298328247</v>
      </c>
      <c r="G24" s="3">
        <f t="shared" si="7"/>
        <v>-70763.4985966565</v>
      </c>
      <c r="H24" s="12">
        <f t="shared" si="8"/>
        <v>1879033.1416088457</v>
      </c>
      <c r="K24">
        <v>13</v>
      </c>
      <c r="L24" s="3">
        <v>0</v>
      </c>
      <c r="M24" s="3">
        <f t="shared" si="20"/>
        <v>1423188.0442448272</v>
      </c>
      <c r="N24" s="2">
        <f t="shared" si="4"/>
        <v>-300000</v>
      </c>
      <c r="O24" s="2">
        <f t="shared" si="16"/>
        <v>500000</v>
      </c>
      <c r="P24" s="7">
        <f t="shared" si="9"/>
        <v>0.35381749298328247</v>
      </c>
      <c r="Q24" s="3">
        <f t="shared" si="17"/>
        <v>-106145.24789498474</v>
      </c>
      <c r="R24" s="12">
        <f t="shared" si="10"/>
        <v>680457.57235012692</v>
      </c>
      <c r="U24">
        <v>13</v>
      </c>
      <c r="V24" s="3">
        <v>0</v>
      </c>
      <c r="W24" s="3">
        <f t="shared" si="21"/>
        <v>2792028.1382049094</v>
      </c>
      <c r="X24" s="2">
        <f t="shared" si="6"/>
        <v>-250000</v>
      </c>
      <c r="Y24" s="2">
        <f t="shared" si="18"/>
        <v>575000</v>
      </c>
      <c r="Z24" s="7">
        <f t="shared" si="11"/>
        <v>0.35381749298328247</v>
      </c>
      <c r="AA24" s="3">
        <f t="shared" si="12"/>
        <v>-88454.373245820621</v>
      </c>
      <c r="AB24" s="12">
        <f t="shared" si="13"/>
        <v>1191313.4546638301</v>
      </c>
    </row>
    <row r="25" spans="1:28" x14ac:dyDescent="0.25">
      <c r="A25">
        <v>14</v>
      </c>
      <c r="B25" s="3">
        <v>0</v>
      </c>
      <c r="C25" s="80">
        <f t="shared" si="19"/>
        <v>4660741.2122713448</v>
      </c>
      <c r="D25" s="2">
        <f t="shared" si="1"/>
        <v>-200000</v>
      </c>
      <c r="E25" s="2">
        <f t="shared" si="15"/>
        <v>650000</v>
      </c>
      <c r="F25" s="7">
        <f t="shared" si="2"/>
        <v>0.32760878979933561</v>
      </c>
      <c r="G25" s="3">
        <f t="shared" si="7"/>
        <v>-65521.757959867122</v>
      </c>
      <c r="H25" s="12">
        <f t="shared" si="8"/>
        <v>1739845.5014896719</v>
      </c>
      <c r="K25">
        <v>14</v>
      </c>
      <c r="L25" s="3">
        <v>0</v>
      </c>
      <c r="M25" s="3">
        <f t="shared" si="20"/>
        <v>1423188.0442448272</v>
      </c>
      <c r="N25" s="2">
        <f t="shared" si="4"/>
        <v>-300000</v>
      </c>
      <c r="O25" s="2">
        <f t="shared" si="16"/>
        <v>500000</v>
      </c>
      <c r="P25" s="7">
        <f t="shared" si="9"/>
        <v>0.32760878979933561</v>
      </c>
      <c r="Q25" s="3">
        <f t="shared" si="17"/>
        <v>-98282.636939800679</v>
      </c>
      <c r="R25" s="12">
        <f t="shared" si="10"/>
        <v>630053.30773159896</v>
      </c>
      <c r="U25">
        <v>14</v>
      </c>
      <c r="V25" s="3">
        <v>0</v>
      </c>
      <c r="W25" s="3">
        <f t="shared" si="21"/>
        <v>2792028.1382049094</v>
      </c>
      <c r="X25" s="2">
        <f t="shared" si="6"/>
        <v>-250000</v>
      </c>
      <c r="Y25" s="2">
        <f t="shared" si="18"/>
        <v>575000</v>
      </c>
      <c r="Z25" s="7">
        <f t="shared" si="11"/>
        <v>0.32760878979933561</v>
      </c>
      <c r="AA25" s="3">
        <f t="shared" si="12"/>
        <v>-81902.197449833897</v>
      </c>
      <c r="AB25" s="12">
        <f t="shared" si="13"/>
        <v>1103068.0135776205</v>
      </c>
    </row>
    <row r="26" spans="1:28" x14ac:dyDescent="0.25">
      <c r="B26" s="3"/>
      <c r="C26" s="80"/>
      <c r="D26" s="2"/>
      <c r="E26" s="2"/>
      <c r="F26" s="7"/>
      <c r="G26" s="3"/>
      <c r="H26" s="12"/>
      <c r="L26" s="3"/>
      <c r="M26" s="3"/>
      <c r="N26" s="2"/>
      <c r="O26" s="2"/>
      <c r="P26" s="7"/>
      <c r="Q26" s="3"/>
      <c r="R26" s="12"/>
      <c r="V26" s="3"/>
      <c r="W26" s="3"/>
      <c r="X26" s="2"/>
      <c r="Y26" s="2"/>
      <c r="Z26" s="7"/>
      <c r="AA26" s="3"/>
      <c r="AB26" s="12"/>
    </row>
    <row r="27" spans="1:28" x14ac:dyDescent="0.25">
      <c r="F27" s="7"/>
    </row>
    <row r="28" spans="1:28" x14ac:dyDescent="0.25">
      <c r="C28" s="16">
        <f>(1-EXP(-elasticity_high*LN(B5)))*100</f>
        <v>34.024604461355288</v>
      </c>
      <c r="F28" s="7"/>
      <c r="G28" t="s">
        <v>90</v>
      </c>
      <c r="H28" s="12">
        <f>SUM(G11:G26)</f>
        <v>-4938594.3428318799</v>
      </c>
      <c r="Q28" t="s">
        <v>90</v>
      </c>
      <c r="R28" s="12">
        <f>SUM(Q11:Q26)</f>
        <v>-11208780.786412861</v>
      </c>
      <c r="W28" s="79"/>
      <c r="X28" s="79"/>
      <c r="Y28" s="79"/>
      <c r="AA28" t="s">
        <v>90</v>
      </c>
      <c r="AB28" s="12">
        <f>SUM(AA11:AA26)</f>
        <v>-8073687.5646223705</v>
      </c>
    </row>
    <row r="29" spans="1:28" x14ac:dyDescent="0.25">
      <c r="C29" s="12"/>
      <c r="F29" s="7"/>
      <c r="G29" t="s">
        <v>91</v>
      </c>
      <c r="H29" s="12">
        <f>SUM(H11:H26)</f>
        <v>34124819.506870024</v>
      </c>
      <c r="Q29" t="s">
        <v>91</v>
      </c>
      <c r="R29" s="12">
        <f>SUM(R11:R26)</f>
        <v>12543544.307024131</v>
      </c>
      <c r="AA29" t="s">
        <v>91</v>
      </c>
      <c r="AB29" s="12">
        <f>SUM(AB11:AB26)</f>
        <v>21749670.95363703</v>
      </c>
    </row>
    <row r="30" spans="1:28" x14ac:dyDescent="0.25">
      <c r="A30" s="46"/>
      <c r="F30" s="7"/>
      <c r="G30" s="1" t="s">
        <v>12</v>
      </c>
      <c r="H30" s="2">
        <f>SUM(G11:H26)</f>
        <v>29186225.16403814</v>
      </c>
      <c r="Q30" s="1" t="s">
        <v>12</v>
      </c>
      <c r="R30" s="2">
        <f>SUM(Q11:R26)</f>
        <v>1334763.5206112745</v>
      </c>
      <c r="AA30" s="1" t="s">
        <v>12</v>
      </c>
      <c r="AB30" s="2">
        <f>SUM(AA11:AB26)</f>
        <v>13675983.389014658</v>
      </c>
    </row>
    <row r="31" spans="1:28" x14ac:dyDescent="0.25">
      <c r="G31" s="1" t="s">
        <v>13</v>
      </c>
      <c r="H31" s="9">
        <f>-SUM(H11:H26)/SUM(G11:G26)</f>
        <v>6.9098243625537856</v>
      </c>
      <c r="Q31" s="1" t="s">
        <v>13</v>
      </c>
      <c r="R31" s="19">
        <f>-SUM(R11:R26)/SUM(Q11:Q26)</f>
        <v>1.1190819542326362</v>
      </c>
      <c r="AA31" s="1" t="s">
        <v>13</v>
      </c>
      <c r="AB31" s="9">
        <f>-SUM(AB11:AB26)/SUM(AA11:AA26)</f>
        <v>2.6938955439569732</v>
      </c>
    </row>
    <row r="33" spans="1:27" x14ac:dyDescent="0.25">
      <c r="G33" s="1"/>
      <c r="Q33" s="1"/>
      <c r="AA33" s="1"/>
    </row>
    <row r="34" spans="1:27" ht="24" thickBot="1" x14ac:dyDescent="0.4">
      <c r="A34" s="10" t="s">
        <v>113</v>
      </c>
      <c r="G34" s="1"/>
      <c r="Q34" s="1"/>
      <c r="AA34" s="1"/>
    </row>
    <row r="35" spans="1:27" ht="15.75" thickBot="1" x14ac:dyDescent="0.3">
      <c r="A35" s="27"/>
      <c r="B35" s="28" t="s">
        <v>44</v>
      </c>
      <c r="C35" s="28" t="s">
        <v>45</v>
      </c>
      <c r="D35" s="28" t="s">
        <v>46</v>
      </c>
      <c r="E35" s="28" t="s">
        <v>47</v>
      </c>
    </row>
    <row r="36" spans="1:27" x14ac:dyDescent="0.25">
      <c r="A36" s="48" t="s">
        <v>48</v>
      </c>
      <c r="B36" s="49" t="s">
        <v>49</v>
      </c>
      <c r="C36" s="37">
        <f>meters_by_region</f>
        <v>10000</v>
      </c>
      <c r="D36" s="37">
        <f>meters_by_region</f>
        <v>10000</v>
      </c>
      <c r="E36" s="37">
        <f>meters_by_region</f>
        <v>10000</v>
      </c>
    </row>
    <row r="37" spans="1:27" x14ac:dyDescent="0.25">
      <c r="A37" s="48" t="s">
        <v>50</v>
      </c>
      <c r="B37" s="49" t="s">
        <v>51</v>
      </c>
      <c r="C37" s="20">
        <f>L4</f>
        <v>27.943548387096776</v>
      </c>
      <c r="D37" s="20">
        <f>V4</f>
        <v>31.935483870967744</v>
      </c>
      <c r="E37" s="20">
        <f>B4</f>
        <v>35.927419354838712</v>
      </c>
    </row>
    <row r="38" spans="1:27" x14ac:dyDescent="0.25">
      <c r="A38" s="48" t="s">
        <v>52</v>
      </c>
      <c r="B38" s="49" t="s">
        <v>53</v>
      </c>
      <c r="C38" s="49">
        <f>smart_meter_costs_high</f>
        <v>800</v>
      </c>
      <c r="D38" s="49">
        <f>smart_meter_costs_medium</f>
        <v>535</v>
      </c>
      <c r="E38" s="49">
        <f>smart_meter_costs_low</f>
        <v>270</v>
      </c>
    </row>
    <row r="39" spans="1:27" x14ac:dyDescent="0.25">
      <c r="A39" s="48" t="s">
        <v>54</v>
      </c>
      <c r="B39" s="49" t="s">
        <v>53</v>
      </c>
      <c r="C39" s="49">
        <f>IT_update_high</f>
        <v>150</v>
      </c>
      <c r="D39" s="49">
        <f>IT_update_medium</f>
        <v>125</v>
      </c>
      <c r="E39" s="49">
        <f>IT_update_low</f>
        <v>100</v>
      </c>
    </row>
    <row r="40" spans="1:27" ht="15" customHeight="1" x14ac:dyDescent="0.25">
      <c r="A40" s="48" t="s">
        <v>55</v>
      </c>
      <c r="B40" s="230" t="s">
        <v>56</v>
      </c>
      <c r="C40" s="230"/>
      <c r="D40" s="230"/>
      <c r="E40" s="230"/>
    </row>
    <row r="41" spans="1:27" x14ac:dyDescent="0.25">
      <c r="A41" s="48" t="s">
        <v>57</v>
      </c>
      <c r="B41" s="49" t="s">
        <v>58</v>
      </c>
      <c r="C41" s="49">
        <f>yrly_opex_high</f>
        <v>30</v>
      </c>
      <c r="D41" s="49">
        <f>yrly_opex_medium</f>
        <v>25</v>
      </c>
      <c r="E41" s="49">
        <f>yrly_opex_low</f>
        <v>20</v>
      </c>
    </row>
    <row r="42" spans="1:27" ht="32.25" customHeight="1" x14ac:dyDescent="0.25">
      <c r="A42" s="48" t="s">
        <v>59</v>
      </c>
      <c r="B42" s="123" t="s">
        <v>244</v>
      </c>
      <c r="C42" s="49">
        <f>savings_low</f>
        <v>271.27285019321818</v>
      </c>
      <c r="D42" s="49">
        <f>savings_medium</f>
        <v>326.27285019321818</v>
      </c>
      <c r="E42" s="49">
        <f>savings_high</f>
        <v>381.27285019321818</v>
      </c>
    </row>
    <row r="43" spans="1:27" ht="25.5" x14ac:dyDescent="0.25">
      <c r="A43" s="48" t="s">
        <v>60</v>
      </c>
      <c r="B43" s="49" t="s">
        <v>61</v>
      </c>
      <c r="C43" s="20">
        <f>(1-EXP(-elasticity_low*LN(before_after_price)))*100</f>
        <v>18.774760364376451</v>
      </c>
      <c r="D43" s="20">
        <f>(1-EXP(-elasticity_medium*LN(before_after_price)))*100</f>
        <v>26.795715202718728</v>
      </c>
      <c r="E43" s="20">
        <f>(1-EXP(-elasticity_high*LN(before_after_price)))*100</f>
        <v>34.024604461355288</v>
      </c>
    </row>
    <row r="44" spans="1:27" ht="25.5" customHeight="1" x14ac:dyDescent="0.25">
      <c r="A44" s="48" t="s">
        <v>62</v>
      </c>
      <c r="B44" s="231" t="s">
        <v>63</v>
      </c>
      <c r="C44" s="231"/>
      <c r="D44" s="231"/>
      <c r="E44" s="231"/>
    </row>
    <row r="45" spans="1:27" x14ac:dyDescent="0.25">
      <c r="A45" s="48" t="s">
        <v>64</v>
      </c>
      <c r="B45" s="49" t="s">
        <v>65</v>
      </c>
      <c r="C45" s="49">
        <f>discount_rate</f>
        <v>8</v>
      </c>
      <c r="D45" s="49">
        <f>discount_rate</f>
        <v>8</v>
      </c>
      <c r="E45" s="49">
        <f>discount_rate</f>
        <v>8</v>
      </c>
    </row>
    <row r="46" spans="1:27" x14ac:dyDescent="0.25">
      <c r="A46" s="48" t="s">
        <v>6</v>
      </c>
      <c r="B46" s="49" t="s">
        <v>66</v>
      </c>
      <c r="C46" s="38">
        <f>-R28/1000000</f>
        <v>11.208780786412861</v>
      </c>
      <c r="D46" s="38">
        <f>AB28/1000000*-1</f>
        <v>8.0736875646223698</v>
      </c>
      <c r="E46" s="38">
        <f>H28/1000000*-1</f>
        <v>4.9385943428318795</v>
      </c>
    </row>
    <row r="47" spans="1:27" x14ac:dyDescent="0.25">
      <c r="A47" s="48" t="s">
        <v>5</v>
      </c>
      <c r="B47" s="49" t="s">
        <v>66</v>
      </c>
      <c r="C47" s="38">
        <f>R29/1000000</f>
        <v>12.543544307024131</v>
      </c>
      <c r="D47" s="38">
        <f>AB29/1000000</f>
        <v>21.749670953637029</v>
      </c>
      <c r="E47" s="38">
        <f>H29/1000000</f>
        <v>34.124819506870026</v>
      </c>
    </row>
    <row r="48" spans="1:27" x14ac:dyDescent="0.25">
      <c r="A48" s="48" t="s">
        <v>12</v>
      </c>
      <c r="B48" s="49" t="s">
        <v>66</v>
      </c>
      <c r="C48" s="38">
        <f>C47-C46</f>
        <v>1.3347635206112702</v>
      </c>
      <c r="D48" s="38">
        <f t="shared" ref="D48:E48" si="22">D47-D46</f>
        <v>13.675983389014659</v>
      </c>
      <c r="E48" s="38">
        <f t="shared" si="22"/>
        <v>29.186225164038145</v>
      </c>
    </row>
    <row r="49" spans="1:5" x14ac:dyDescent="0.25">
      <c r="A49" s="31" t="s">
        <v>67</v>
      </c>
      <c r="B49" s="32" t="s">
        <v>68</v>
      </c>
      <c r="C49" s="40">
        <f>1000*ROUND(((C48*1000000/meters_by_region)/1000),2)</f>
        <v>130</v>
      </c>
      <c r="D49" s="40">
        <f>100*ROUND(((D48*1000000/meters_by_region)/100),1)</f>
        <v>1370</v>
      </c>
      <c r="E49" s="40">
        <f>100*ROUND(((E48*1000000/meters_by_region)/100),1)</f>
        <v>2920</v>
      </c>
    </row>
    <row r="50" spans="1:5" ht="16.5" customHeight="1" thickBot="1" x14ac:dyDescent="0.3">
      <c r="A50" s="33" t="s">
        <v>21</v>
      </c>
      <c r="B50" s="34" t="s">
        <v>69</v>
      </c>
      <c r="C50" s="39">
        <f>C47/C46</f>
        <v>1.1190819542326365</v>
      </c>
      <c r="D50" s="39">
        <f t="shared" ref="D50:E50" si="23">D47/D46</f>
        <v>2.6938955439569732</v>
      </c>
      <c r="E50" s="39">
        <f t="shared" si="23"/>
        <v>6.9098243625537856</v>
      </c>
    </row>
    <row r="51" spans="1:5" ht="27.75" customHeight="1" thickBot="1" x14ac:dyDescent="0.3">
      <c r="A51" s="50" t="s">
        <v>87</v>
      </c>
      <c r="B51" s="51" t="s">
        <v>88</v>
      </c>
      <c r="C51" s="218">
        <f>(C49*C45/100)/((1+C45/100)^0.5-1/(1+C45/100)^14.5)</f>
        <v>14.614506663924399</v>
      </c>
      <c r="D51" s="218">
        <f>(D49*D45/100)/((1+D45/100)^0.5-1/(1+D45/100)^14.5)</f>
        <v>154.01441638135711</v>
      </c>
      <c r="E51" s="218">
        <f>(E49*E45/100)/((1+E45/100)^0.5-1/(1+E45/100)^14.5)</f>
        <v>328.26430352814805</v>
      </c>
    </row>
    <row r="52" spans="1:5" ht="13.5" customHeight="1" x14ac:dyDescent="0.25">
      <c r="A52" s="56"/>
      <c r="B52" s="56"/>
      <c r="C52" s="56"/>
      <c r="D52" s="56" t="s">
        <v>95</v>
      </c>
      <c r="E52" s="56" t="s">
        <v>96</v>
      </c>
    </row>
    <row r="53" spans="1:5" ht="27.75" customHeight="1" x14ac:dyDescent="0.25">
      <c r="A53" s="57" t="s">
        <v>98</v>
      </c>
      <c r="B53" s="55"/>
      <c r="C53" s="55"/>
      <c r="D53" s="53">
        <f>_xlfn.BETA.INV(0.25,B63,B64,$C49,$E49)</f>
        <v>880.36344342573375</v>
      </c>
      <c r="E53" s="53">
        <f>_xlfn.BETA.INV(0.75,B63,B64,$C49,$E49)</f>
        <v>1888.8699808222116</v>
      </c>
    </row>
    <row r="54" spans="1:5" ht="27.75" customHeight="1" x14ac:dyDescent="0.25">
      <c r="A54" s="57" t="s">
        <v>99</v>
      </c>
      <c r="B54" s="55"/>
      <c r="C54" s="55"/>
      <c r="D54" s="53">
        <f>MROUND((D53*D45/100)/((1+D45/100)^0.5-1/(1+D45/100)^14.5),50)</f>
        <v>100</v>
      </c>
      <c r="E54" s="53">
        <f>MROUND((E53*E45/100)/((1+E45/100)^0.5-1/(1+E45/100)^14.5),50)</f>
        <v>200</v>
      </c>
    </row>
    <row r="56" spans="1:5" x14ac:dyDescent="0.25">
      <c r="A56" s="50"/>
      <c r="B56" s="51"/>
      <c r="C56" s="3"/>
    </row>
    <row r="57" spans="1:5" x14ac:dyDescent="0.25">
      <c r="A57" s="50"/>
    </row>
    <row r="58" spans="1:5" x14ac:dyDescent="0.25">
      <c r="A58" s="50"/>
    </row>
    <row r="60" spans="1:5" x14ac:dyDescent="0.25">
      <c r="A60" s="1" t="s">
        <v>97</v>
      </c>
    </row>
    <row r="61" spans="1:5" x14ac:dyDescent="0.25">
      <c r="A61" s="54" t="s">
        <v>115</v>
      </c>
      <c r="B61" s="62">
        <f>_xlfn.BETA.INV(0.5,B63,B64,$C$49,$E$49)</f>
        <v>1370.0001356363034</v>
      </c>
    </row>
    <row r="62" spans="1:5" x14ac:dyDescent="0.25">
      <c r="A62" s="54" t="s">
        <v>94</v>
      </c>
      <c r="B62" s="62">
        <f>_xlfn.BETA.INV(0.75,B63,B64,C49,E49)</f>
        <v>1888.8699808222116</v>
      </c>
    </row>
    <row r="63" spans="1:5" x14ac:dyDescent="0.25">
      <c r="A63" s="54" t="s">
        <v>92</v>
      </c>
      <c r="B63" s="59">
        <v>1.6609293685741697</v>
      </c>
    </row>
    <row r="64" spans="1:5" x14ac:dyDescent="0.25">
      <c r="A64" s="54" t="s">
        <v>93</v>
      </c>
      <c r="B64" s="59">
        <v>2</v>
      </c>
    </row>
    <row r="65" spans="1:2" x14ac:dyDescent="0.25">
      <c r="A65" s="54" t="s">
        <v>100</v>
      </c>
      <c r="B65" s="60">
        <f>(B61-D49)^2</f>
        <v>1.8397206803260394E-8</v>
      </c>
    </row>
  </sheetData>
  <mergeCells count="2">
    <mergeCell ref="B40:E40"/>
    <mergeCell ref="B44:E44"/>
  </mergeCells>
  <hyperlinks>
    <hyperlink ref="F1" location="Contents!A1" display="Back to the Contents of this spreadsheet"/>
  </hyperlink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C00000"/>
  </sheetPr>
  <dimension ref="A1:AB92"/>
  <sheetViews>
    <sheetView topLeftCell="A55" zoomScale="110" zoomScaleNormal="110" workbookViewId="0">
      <selection activeCell="F1" sqref="F1"/>
    </sheetView>
  </sheetViews>
  <sheetFormatPr defaultRowHeight="15" x14ac:dyDescent="0.25"/>
  <cols>
    <col min="1" max="1" width="34.85546875" bestFit="1" customWidth="1"/>
    <col min="2" max="2" width="23.7109375" customWidth="1"/>
    <col min="3" max="3" width="24.42578125" customWidth="1"/>
    <col min="4" max="4" width="23.42578125" customWidth="1"/>
    <col min="5" max="5" width="29.28515625" bestFit="1" customWidth="1"/>
    <col min="6" max="6" width="21.7109375" bestFit="1" customWidth="1"/>
    <col min="7" max="7" width="22.140625" customWidth="1"/>
    <col min="8" max="8" width="25.28515625" customWidth="1"/>
    <col min="9" max="9" width="18.28515625" customWidth="1"/>
    <col min="11" max="11" width="29.7109375" customWidth="1"/>
    <col min="12" max="12" width="19.140625" bestFit="1" customWidth="1"/>
    <col min="13" max="13" width="16.5703125" bestFit="1" customWidth="1"/>
    <col min="14" max="14" width="15.42578125" customWidth="1"/>
    <col min="15" max="15" width="23.28515625" customWidth="1"/>
    <col min="16" max="16" width="12.5703125" customWidth="1"/>
    <col min="17" max="17" width="32.42578125" customWidth="1"/>
    <col min="18" max="18" width="18.7109375" customWidth="1"/>
    <col min="21" max="21" width="18.7109375" customWidth="1"/>
    <col min="22" max="22" width="18.5703125" bestFit="1" customWidth="1"/>
    <col min="23" max="23" width="20.85546875" customWidth="1"/>
    <col min="24" max="24" width="22.42578125" customWidth="1"/>
    <col min="25" max="25" width="15.140625" bestFit="1" customWidth="1"/>
    <col min="26" max="26" width="15.140625" customWidth="1"/>
    <col min="27" max="27" width="22.85546875" customWidth="1"/>
    <col min="28" max="28" width="21" customWidth="1"/>
  </cols>
  <sheetData>
    <row r="1" spans="1:28" ht="24" customHeight="1" x14ac:dyDescent="0.35">
      <c r="A1" s="10" t="s">
        <v>8</v>
      </c>
      <c r="B1" s="10" t="s">
        <v>84</v>
      </c>
      <c r="F1" s="223" t="s">
        <v>389</v>
      </c>
      <c r="K1" s="10" t="s">
        <v>7</v>
      </c>
      <c r="U1" s="10" t="s">
        <v>15</v>
      </c>
    </row>
    <row r="2" spans="1:28" ht="16.149999999999999" customHeight="1" thickBot="1" x14ac:dyDescent="0.3">
      <c r="A2" s="67" t="s">
        <v>1</v>
      </c>
      <c r="B2" s="68">
        <f>Meters_NonVic</f>
        <v>6200000</v>
      </c>
      <c r="C2" s="67" t="s">
        <v>16</v>
      </c>
      <c r="D2" s="68">
        <v>5</v>
      </c>
      <c r="N2" s="77">
        <f>-yrly_opex_high*Meters_NonVic/5</f>
        <v>-37200000</v>
      </c>
    </row>
    <row r="3" spans="1:28" ht="16.149999999999999" customHeight="1" x14ac:dyDescent="0.25">
      <c r="A3" s="69" t="s">
        <v>2</v>
      </c>
      <c r="B3" s="70">
        <f>PeakD_nonVic_max</f>
        <v>14850</v>
      </c>
      <c r="C3" s="69" t="s">
        <v>14</v>
      </c>
      <c r="D3" s="70">
        <v>8</v>
      </c>
      <c r="E3" s="77"/>
      <c r="F3" s="1"/>
      <c r="K3" s="1" t="s">
        <v>1</v>
      </c>
      <c r="L3" s="4">
        <f>Meters_NonVic</f>
        <v>6200000</v>
      </c>
      <c r="P3" s="1"/>
      <c r="U3" s="1" t="s">
        <v>1</v>
      </c>
      <c r="V3" s="14">
        <f>Meters_NonVic</f>
        <v>6200000</v>
      </c>
      <c r="Z3" s="1"/>
    </row>
    <row r="4" spans="1:28" ht="16.149999999999999" customHeight="1" x14ac:dyDescent="0.25">
      <c r="A4" s="71" t="s">
        <v>199</v>
      </c>
      <c r="B4" s="72">
        <f>savings_high</f>
        <v>381.27285019321818</v>
      </c>
      <c r="C4" s="71"/>
      <c r="D4" s="72"/>
      <c r="K4" s="1" t="s">
        <v>2</v>
      </c>
      <c r="L4" s="5">
        <f>PeakD_nonVic_min</f>
        <v>11550</v>
      </c>
      <c r="U4" s="1" t="s">
        <v>2</v>
      </c>
      <c r="V4" s="5">
        <f>AVERAGE(L4,B3)</f>
        <v>13200</v>
      </c>
    </row>
    <row r="5" spans="1:28" ht="16.149999999999999" customHeight="1" x14ac:dyDescent="0.25">
      <c r="B5" s="79"/>
      <c r="D5" s="79"/>
      <c r="K5" s="1" t="s">
        <v>245</v>
      </c>
      <c r="L5" s="5">
        <f>savings_low</f>
        <v>271.27285019321818</v>
      </c>
      <c r="U5" s="1" t="s">
        <v>245</v>
      </c>
      <c r="V5" s="5">
        <f>AVERAGE(L5,B4)</f>
        <v>326.27285019321818</v>
      </c>
    </row>
    <row r="6" spans="1:28" x14ac:dyDescent="0.25">
      <c r="A6" s="1" t="s">
        <v>0</v>
      </c>
      <c r="B6" s="1" t="s">
        <v>4</v>
      </c>
      <c r="C6" s="1" t="s">
        <v>9</v>
      </c>
      <c r="D6" s="1" t="s">
        <v>10</v>
      </c>
      <c r="E6" s="1" t="s">
        <v>11</v>
      </c>
      <c r="F6" s="1" t="s">
        <v>3</v>
      </c>
      <c r="G6" s="1" t="s">
        <v>6</v>
      </c>
      <c r="H6" s="1" t="s">
        <v>5</v>
      </c>
      <c r="I6" s="78" t="s">
        <v>225</v>
      </c>
      <c r="K6" s="1" t="s">
        <v>0</v>
      </c>
      <c r="L6" s="1" t="s">
        <v>4</v>
      </c>
      <c r="M6" s="1" t="s">
        <v>9</v>
      </c>
      <c r="N6" s="1" t="s">
        <v>10</v>
      </c>
      <c r="O6" s="1" t="s">
        <v>11</v>
      </c>
      <c r="P6" s="1" t="s">
        <v>3</v>
      </c>
      <c r="Q6" s="1" t="s">
        <v>6</v>
      </c>
      <c r="R6" s="1" t="s">
        <v>5</v>
      </c>
      <c r="U6" s="1" t="s">
        <v>0</v>
      </c>
      <c r="V6" s="1" t="s">
        <v>4</v>
      </c>
      <c r="W6" s="1" t="s">
        <v>9</v>
      </c>
      <c r="X6" s="1" t="s">
        <v>10</v>
      </c>
      <c r="Y6" s="1" t="s">
        <v>11</v>
      </c>
      <c r="Z6" s="1" t="s">
        <v>3</v>
      </c>
      <c r="AA6" s="1" t="s">
        <v>6</v>
      </c>
      <c r="AB6" s="1" t="s">
        <v>5</v>
      </c>
    </row>
    <row r="7" spans="1:28" x14ac:dyDescent="0.25">
      <c r="A7">
        <v>0</v>
      </c>
      <c r="B7" s="3">
        <f>-smart_meter_costs_low*Meters_NonVic/5</f>
        <v>-334800000</v>
      </c>
      <c r="C7" s="80">
        <f>1/Rollout_yrs*('One off'!$B11)</f>
        <v>619087.43151653954</v>
      </c>
      <c r="D7" s="2">
        <f>-yrly_opex_low*Meters_NonVic/5</f>
        <v>-24800000</v>
      </c>
      <c r="E7">
        <v>0</v>
      </c>
      <c r="F7" s="7">
        <f t="shared" ref="F7:F25" si="0">1/((1+discount_rate/100)^($A7+0.5))</f>
        <v>0.96225044864937614</v>
      </c>
      <c r="G7" s="17">
        <f>F7*(B7+D7)</f>
        <v>-346025261.33431566</v>
      </c>
      <c r="H7" s="81">
        <f>F7*(C7+E7)</f>
        <v>595717.15872998012</v>
      </c>
      <c r="I7" s="81">
        <f>H7+G7</f>
        <v>-345429544.17558569</v>
      </c>
      <c r="K7">
        <v>0</v>
      </c>
      <c r="L7" s="80">
        <f>-smart_meter_costs_high*Meters_NonVic/5</f>
        <v>-992000000</v>
      </c>
      <c r="M7" s="80">
        <f>1/Rollout_yrs*('One off'!$C11)</f>
        <v>189042.42710510775</v>
      </c>
      <c r="N7" s="79">
        <f>-yrly_opex_high*Meters_NonVic/5</f>
        <v>-37200000</v>
      </c>
      <c r="O7" s="77">
        <v>0</v>
      </c>
      <c r="P7" s="7">
        <f t="shared" ref="P7:P25" si="1">1/((1+discount_rate/100)^($A7+0.5))</f>
        <v>0.96225044864937614</v>
      </c>
      <c r="Q7" s="3">
        <f>P7*(L7+N7)</f>
        <v>-990348161.74993789</v>
      </c>
      <c r="R7" s="12">
        <f>P7*(M7+O7)</f>
        <v>181906.16029565691</v>
      </c>
      <c r="U7">
        <v>0</v>
      </c>
      <c r="V7" s="80">
        <f>-smart_meter_costs_medium*Meters_NonVic/5</f>
        <v>-663400000</v>
      </c>
      <c r="W7" s="80">
        <f>1/Rollout_yrs*('One off'!$D11)</f>
        <v>370865.80225740944</v>
      </c>
      <c r="X7" s="79">
        <f>-yrly_opex_medium*Meters_NonVic/5</f>
        <v>-31000000</v>
      </c>
      <c r="Y7">
        <v>0</v>
      </c>
      <c r="Z7" s="7">
        <f t="shared" ref="Z7:Z26" si="2">1/((1+discount_rate/100)^($A7+0.5))</f>
        <v>0.96225044864937614</v>
      </c>
      <c r="AA7" s="3">
        <f>Z7*(V7+X7)</f>
        <v>-668186711.54212677</v>
      </c>
      <c r="AB7" s="12">
        <f>Z7*(W7+Y7)</f>
        <v>356865.78461090307</v>
      </c>
    </row>
    <row r="8" spans="1:28" x14ac:dyDescent="0.25">
      <c r="A8">
        <v>1</v>
      </c>
      <c r="B8" s="80">
        <f>-smart_meter_costs_low*Meters_NonVic/5</f>
        <v>-334800000</v>
      </c>
      <c r="C8" s="80">
        <f>1/Rollout_yrs*('One off'!$B12+'One off'!$B11)</f>
        <v>5813162.0837189509</v>
      </c>
      <c r="D8" s="79">
        <f>-yrly_opex_low*Meters_NonVic*2/5</f>
        <v>-49600000</v>
      </c>
      <c r="E8">
        <v>0</v>
      </c>
      <c r="F8" s="7">
        <f t="shared" si="0"/>
        <v>0.89097263763831136</v>
      </c>
      <c r="G8" s="3">
        <f t="shared" ref="G8:G25" si="3">F8*(B8+D8)</f>
        <v>-342489881.90816689</v>
      </c>
      <c r="H8" s="12">
        <f t="shared" ref="H8:H25" si="4">F8*(C8+E8)</f>
        <v>5179368.3547500959</v>
      </c>
      <c r="I8" s="81">
        <f>I7+H8+G8</f>
        <v>-682740057.72900248</v>
      </c>
      <c r="K8">
        <v>1</v>
      </c>
      <c r="L8" s="80">
        <f>-smart_meter_costs_high*Meters_NonVic/5</f>
        <v>-992000000</v>
      </c>
      <c r="M8" s="80">
        <f>1/Rollout_yrs*('One off'!$C12+'One off'!$C11)</f>
        <v>1775087.3519910201</v>
      </c>
      <c r="N8" s="79">
        <f>-yrly_opex_high*Meters_NonVic*2/5</f>
        <v>-74400000</v>
      </c>
      <c r="O8" s="77">
        <v>0</v>
      </c>
      <c r="P8" s="7">
        <f t="shared" si="1"/>
        <v>0.89097263763831136</v>
      </c>
      <c r="Q8" s="3">
        <f>P8*(L8+N8)</f>
        <v>-950133220.77749527</v>
      </c>
      <c r="R8" s="12">
        <f t="shared" ref="R8:R22" si="5">P8*(M8+O8)</f>
        <v>1581554.2600418448</v>
      </c>
      <c r="U8">
        <v>1</v>
      </c>
      <c r="V8" s="80">
        <f>-smart_meter_costs_medium*Meters_NonVic/5</f>
        <v>-663400000</v>
      </c>
      <c r="W8" s="80">
        <f>1/Rollout_yrs*('One off'!$D12+'One off'!$D11)</f>
        <v>3482388.6095532621</v>
      </c>
      <c r="X8" s="79">
        <f>-yrly_opex_medium*Meters_NonVic*2/5</f>
        <v>-62000000</v>
      </c>
      <c r="Y8">
        <v>0</v>
      </c>
      <c r="Z8" s="7">
        <f t="shared" si="2"/>
        <v>0.89097263763831136</v>
      </c>
      <c r="AA8" s="3">
        <f t="shared" ref="AA8:AA22" si="6">Z8*(V8+X8)</f>
        <v>-646311551.34283102</v>
      </c>
      <c r="AB8" s="12">
        <f t="shared" ref="AB8:AB22" si="7">Z8*(W8+Y8)</f>
        <v>3102712.9647352817</v>
      </c>
    </row>
    <row r="9" spans="1:28" x14ac:dyDescent="0.25">
      <c r="A9">
        <v>2</v>
      </c>
      <c r="B9" s="80">
        <f>-smart_meter_costs_low*Meters_NonVic/5</f>
        <v>-334800000</v>
      </c>
      <c r="C9" s="80">
        <f>1/Rollout_yrs*('One off'!$B13+'One off'!$B12+'One off'!$B11)</f>
        <v>19915638.985272687</v>
      </c>
      <c r="D9" s="79">
        <f>-yrly_opex_low*Meters_NonVic*3/5</f>
        <v>-74400000</v>
      </c>
      <c r="E9" s="2">
        <f>business_eff_high*Meters_NonVic*1/5</f>
        <v>80600000</v>
      </c>
      <c r="F9" s="7">
        <f t="shared" si="0"/>
        <v>0.82497466447991774</v>
      </c>
      <c r="G9" s="3">
        <f t="shared" si="3"/>
        <v>-337579632.70518231</v>
      </c>
      <c r="H9" s="12">
        <f t="shared" si="4"/>
        <v>82922855.546859875</v>
      </c>
      <c r="I9" s="81">
        <f t="shared" ref="I9:I25" si="8">I8+H9+G9</f>
        <v>-937396834.88732493</v>
      </c>
      <c r="K9">
        <v>2</v>
      </c>
      <c r="L9" s="80">
        <f>-smart_meter_costs_high*Meters_NonVic/5</f>
        <v>-992000000</v>
      </c>
      <c r="M9" s="80">
        <f>1/Rollout_yrs*('One off'!$C13+'One off'!$C12+'One off'!$C11)</f>
        <v>6081371.6116032498</v>
      </c>
      <c r="N9" s="79">
        <f>-yrly_opex_high*Meters_NonVic*3/5</f>
        <v>-111600000</v>
      </c>
      <c r="O9" s="79">
        <f>business_eff_low*Meters_NonVic*1/5</f>
        <v>62000000</v>
      </c>
      <c r="P9" s="7">
        <f t="shared" si="1"/>
        <v>0.82497466447991774</v>
      </c>
      <c r="Q9" s="3">
        <f t="shared" ref="Q9:Q22" si="9">P9*(L9+N9)</f>
        <v>-910442039.72003722</v>
      </c>
      <c r="R9" s="12">
        <f>P9*(M9+O9)</f>
        <v>56165406.702614985</v>
      </c>
      <c r="U9">
        <v>2</v>
      </c>
      <c r="V9" s="80">
        <f>-smart_meter_costs_medium*Meters_NonVic/5</f>
        <v>-663400000</v>
      </c>
      <c r="W9" s="80">
        <f>1/Rollout_yrs*('One off'!$D13+'One off'!$D12+'One off'!$D11)</f>
        <v>11930511.029191796</v>
      </c>
      <c r="X9" s="79">
        <f>-yrly_opex_medium*Meters_NonVic*3/5</f>
        <v>-93000000</v>
      </c>
      <c r="Y9" s="79">
        <f>business_eff_medium*Meters_NonVic*1/5</f>
        <v>71300000</v>
      </c>
      <c r="Z9" s="7">
        <f t="shared" si="2"/>
        <v>0.82497466447991774</v>
      </c>
      <c r="AA9" s="3">
        <f t="shared" si="6"/>
        <v>-624010836.21260977</v>
      </c>
      <c r="AB9" s="12">
        <f t="shared" si="7"/>
        <v>68663062.910799593</v>
      </c>
    </row>
    <row r="10" spans="1:28" ht="15" customHeight="1" x14ac:dyDescent="0.25">
      <c r="A10">
        <v>3</v>
      </c>
      <c r="B10" s="80">
        <f>-smart_meter_costs_low*Meters_NonVic/5</f>
        <v>-334800000</v>
      </c>
      <c r="C10" s="80">
        <f>1/Rollout_yrs*('One off'!$B14+'One off'!$B13+'One off'!$B12+'One off'!$B11)</f>
        <v>49207424.998819821</v>
      </c>
      <c r="D10" s="79">
        <f>-yrly_opex_low*Meters_NonVic*4/5</f>
        <v>-99200000</v>
      </c>
      <c r="E10" s="79">
        <f>business_eff_high*Meters_NonVic*2/5</f>
        <v>161200000</v>
      </c>
      <c r="F10" s="7">
        <f t="shared" si="0"/>
        <v>0.76386543007399788</v>
      </c>
      <c r="G10" s="3">
        <f t="shared" si="3"/>
        <v>-331517596.65211511</v>
      </c>
      <c r="H10" s="12">
        <f t="shared" si="4"/>
        <v>160722958.18748596</v>
      </c>
      <c r="I10" s="81">
        <f t="shared" si="8"/>
        <v>-1108191473.351954</v>
      </c>
      <c r="K10">
        <v>3</v>
      </c>
      <c r="L10" s="80">
        <f>-smart_meter_costs_high*Meters_NonVic/5</f>
        <v>-992000000</v>
      </c>
      <c r="M10" s="80">
        <f>1/Rollout_yrs*('One off'!$C14+'One off'!$C13+'One off'!$C12+'One off'!$C11)</f>
        <v>15025811.508694686</v>
      </c>
      <c r="N10" s="79">
        <f>-yrly_opex_high*Meters_NonVic*4/5</f>
        <v>-148800000</v>
      </c>
      <c r="O10" s="79">
        <f>business_eff_low*Meters_NonVic*2/5</f>
        <v>124000000</v>
      </c>
      <c r="P10" s="7">
        <f t="shared" si="1"/>
        <v>0.76386543007399788</v>
      </c>
      <c r="Q10" s="3">
        <f t="shared" si="9"/>
        <v>-871417682.62841678</v>
      </c>
      <c r="R10" s="12">
        <f t="shared" si="5"/>
        <v>106197011.29947563</v>
      </c>
      <c r="U10">
        <v>3</v>
      </c>
      <c r="V10" s="80">
        <f>-smart_meter_costs_medium*Meters_NonVic/5</f>
        <v>-663400000</v>
      </c>
      <c r="W10" s="80">
        <f>1/Rollout_yrs*('One off'!$D14+'One off'!$D13+'One off'!$D12+'One off'!$D11)</f>
        <v>29477825.296023741</v>
      </c>
      <c r="X10" s="79">
        <f>-yrly_opex_medium*Meters_NonVic*4/5</f>
        <v>-124000000</v>
      </c>
      <c r="Y10" s="79">
        <f>business_eff_medium*Meters_NonVic*2/5</f>
        <v>142600000</v>
      </c>
      <c r="Z10" s="7">
        <f t="shared" si="2"/>
        <v>0.76386543007399788</v>
      </c>
      <c r="AA10" s="3">
        <f t="shared" si="6"/>
        <v>-601467639.64026594</v>
      </c>
      <c r="AB10" s="12">
        <f t="shared" si="7"/>
        <v>131444302.02594544</v>
      </c>
    </row>
    <row r="11" spans="1:28" x14ac:dyDescent="0.25">
      <c r="A11">
        <v>4</v>
      </c>
      <c r="B11" s="80">
        <f>-smart_meter_costs_low*Meters_NonVic/5</f>
        <v>-334800000</v>
      </c>
      <c r="C11" s="80">
        <f>1/Rollout_yrs*('One off'!$B15+'One off'!$B14+'One off'!$B13+'One off'!$B12+'One off'!$B11)</f>
        <v>101241238.42010455</v>
      </c>
      <c r="D11" s="79">
        <f t="shared" ref="D11:D21" si="10">-yrly_opex_low*Meters_NonVic*5/5</f>
        <v>-124000000</v>
      </c>
      <c r="E11" s="79">
        <f>business_eff_high*Meters_NonVic*3/5</f>
        <v>241800000</v>
      </c>
      <c r="F11" s="7">
        <f t="shared" si="0"/>
        <v>0.70728280562407209</v>
      </c>
      <c r="G11" s="3">
        <f t="shared" si="3"/>
        <v>-324501351.22032428</v>
      </c>
      <c r="H11" s="12">
        <f t="shared" si="4"/>
        <v>242627169.55452779</v>
      </c>
      <c r="I11" s="81">
        <f t="shared" si="8"/>
        <v>-1190065655.0177505</v>
      </c>
      <c r="K11">
        <v>4</v>
      </c>
      <c r="L11" s="80">
        <f>-smart_meter_costs_high*Meters_NonVic/5</f>
        <v>-992000000</v>
      </c>
      <c r="M11" s="80">
        <f>1/Rollout_yrs*('One off'!$C15+'One off'!$C14+'One off'!$C13+'One off'!$C12+'One off'!$C11)</f>
        <v>30914679.348569736</v>
      </c>
      <c r="N11" s="79">
        <f t="shared" ref="N11:N21" si="11">-yrly_opex_high*Meters_NonVic*5/5</f>
        <v>-186000000</v>
      </c>
      <c r="O11" s="79">
        <f>business_eff_low*Meters_NonVic*3/5</f>
        <v>186000000</v>
      </c>
      <c r="P11" s="7">
        <f t="shared" si="1"/>
        <v>0.70728280562407209</v>
      </c>
      <c r="Q11" s="3">
        <f t="shared" si="9"/>
        <v>-833179145.02515697</v>
      </c>
      <c r="R11" s="12">
        <f t="shared" si="5"/>
        <v>153420022.99070239</v>
      </c>
      <c r="U11">
        <v>4</v>
      </c>
      <c r="V11" s="80">
        <f>-smart_meter_costs_medium*Meters_NonVic/5</f>
        <v>-663400000</v>
      </c>
      <c r="W11" s="80">
        <f>1/Rollout_yrs*('One off'!$D15+'One off'!$D14+'One off'!$D13+'One off'!$D12+'One off'!$D11)</f>
        <v>60648805.316931427</v>
      </c>
      <c r="X11" s="79">
        <f t="shared" ref="X11:X21" si="12">-yrly_opex_medium*Meters_NonVic*5/5</f>
        <v>-155000000</v>
      </c>
      <c r="Y11" s="79">
        <f>business_eff_medium*Meters_NonVic*3/5</f>
        <v>213900000</v>
      </c>
      <c r="Z11" s="7">
        <f t="shared" si="2"/>
        <v>0.70728280562407209</v>
      </c>
      <c r="AA11" s="3">
        <f t="shared" si="6"/>
        <v>-578840248.12274063</v>
      </c>
      <c r="AB11" s="12">
        <f t="shared" si="7"/>
        <v>194183649.30529642</v>
      </c>
    </row>
    <row r="12" spans="1:28" x14ac:dyDescent="0.25">
      <c r="A12">
        <v>5</v>
      </c>
      <c r="B12" s="3"/>
      <c r="C12" s="80">
        <f>1/Rollout_yrs*('One off'!$B16+'One off'!$B15+'One off'!$B14+'One off'!$B13+'One off'!$B12)</f>
        <v>182795418.47591829</v>
      </c>
      <c r="D12" s="79">
        <f t="shared" si="10"/>
        <v>-124000000</v>
      </c>
      <c r="E12" s="79">
        <f>business_eff_high*Meters_NonVic*4/5</f>
        <v>322400000</v>
      </c>
      <c r="F12" s="7">
        <f t="shared" si="0"/>
        <v>0.65489148668895558</v>
      </c>
      <c r="G12" s="3">
        <f t="shared" si="3"/>
        <v>-81206544.349430487</v>
      </c>
      <c r="H12" s="12">
        <f t="shared" si="4"/>
        <v>330848178.6741432</v>
      </c>
      <c r="I12" s="81">
        <f t="shared" si="8"/>
        <v>-940424020.69303775</v>
      </c>
      <c r="K12">
        <v>5</v>
      </c>
      <c r="L12" s="3"/>
      <c r="M12" s="80">
        <f>1/Rollout_yrs*('One off'!$C16+'One off'!$C15+'One off'!$C14+'One off'!$C13+'One off'!$C12)</f>
        <v>55817785.684538245</v>
      </c>
      <c r="N12" s="79">
        <f t="shared" si="11"/>
        <v>-186000000</v>
      </c>
      <c r="O12" s="79">
        <f>business_eff_low*Meters_NonVic*4/5</f>
        <v>248000000</v>
      </c>
      <c r="P12" s="7">
        <f t="shared" si="1"/>
        <v>0.65489148668895558</v>
      </c>
      <c r="Q12" s="3">
        <f t="shared" si="9"/>
        <v>-121809816.52414574</v>
      </c>
      <c r="R12" s="12">
        <f t="shared" si="5"/>
        <v>198967681.34949374</v>
      </c>
      <c r="U12">
        <v>5</v>
      </c>
      <c r="V12" s="80"/>
      <c r="W12" s="80">
        <f>1/Rollout_yrs*('One off'!$D16+'One off'!$D15+'One off'!$D14+'One off'!$D13+'One off'!$D12)</f>
        <v>109504031.37079221</v>
      </c>
      <c r="X12" s="79">
        <f t="shared" si="12"/>
        <v>-155000000</v>
      </c>
      <c r="Y12" s="79">
        <f>business_eff_medium*Meters_NonVic*4/5</f>
        <v>285200000</v>
      </c>
      <c r="Z12" s="7">
        <f t="shared" si="2"/>
        <v>0.65489148668895558</v>
      </c>
      <c r="AA12" s="3">
        <f t="shared" si="6"/>
        <v>-101508180.43678811</v>
      </c>
      <c r="AB12" s="12">
        <f t="shared" si="7"/>
        <v>258488309.90654227</v>
      </c>
    </row>
    <row r="13" spans="1:28" x14ac:dyDescent="0.25">
      <c r="A13">
        <v>6</v>
      </c>
      <c r="B13" s="3"/>
      <c r="C13" s="80">
        <f>1/Rollout_yrs*('One off'!$B17+'One off'!$B16+'One off'!$B15+'One off'!$B14+'One off'!$B13)</f>
        <v>295554015.27545577</v>
      </c>
      <c r="D13" s="79">
        <f t="shared" si="10"/>
        <v>-124000000</v>
      </c>
      <c r="E13" s="79">
        <f t="shared" ref="E13:E21" si="13">business_eff_high*Meters_NonVic*5/5</f>
        <v>403000000</v>
      </c>
      <c r="F13" s="7">
        <f t="shared" si="0"/>
        <v>0.60638100619347735</v>
      </c>
      <c r="G13" s="3">
        <f t="shared" si="3"/>
        <v>-75191244.767991185</v>
      </c>
      <c r="H13" s="12">
        <f t="shared" si="4"/>
        <v>423589886.66322458</v>
      </c>
      <c r="I13" s="81">
        <f t="shared" si="8"/>
        <v>-592025378.79780436</v>
      </c>
      <c r="K13">
        <v>6</v>
      </c>
      <c r="L13" s="3"/>
      <c r="M13" s="80">
        <f>1/Rollout_yrs*('One off'!$C17+'One off'!$C16+'One off'!$C15+'One off'!$C14+'One off'!$C13)</f>
        <v>90249366.315619618</v>
      </c>
      <c r="N13" s="79">
        <f t="shared" si="11"/>
        <v>-186000000</v>
      </c>
      <c r="O13" s="79">
        <f t="shared" ref="O13:O21" si="14">business_eff_low*Meters_NonVic*5/5</f>
        <v>310000000</v>
      </c>
      <c r="P13" s="7">
        <f t="shared" si="1"/>
        <v>0.60638100619347735</v>
      </c>
      <c r="Q13" s="3">
        <f t="shared" si="9"/>
        <v>-112786867.15198679</v>
      </c>
      <c r="R13" s="12">
        <f t="shared" si="5"/>
        <v>242703613.47476712</v>
      </c>
      <c r="U13">
        <v>6</v>
      </c>
      <c r="V13" s="80"/>
      <c r="W13" s="80">
        <f>1/Rollout_yrs*('One off'!$D17+'One off'!$D16+'One off'!$D15+'One off'!$D14+'One off'!$D13)</f>
        <v>177052337.69166282</v>
      </c>
      <c r="X13" s="79">
        <f t="shared" si="12"/>
        <v>-155000000</v>
      </c>
      <c r="Y13" s="79">
        <f t="shared" ref="Y13:Y21" si="15">business_eff_medium*Meters_NonVic*5/5</f>
        <v>356500000</v>
      </c>
      <c r="Z13" s="7">
        <f t="shared" si="2"/>
        <v>0.60638100619347735</v>
      </c>
      <c r="AA13" s="3">
        <f t="shared" si="6"/>
        <v>-93989055.959988981</v>
      </c>
      <c r="AB13" s="12">
        <f t="shared" si="7"/>
        <v>323536003.38635248</v>
      </c>
    </row>
    <row r="14" spans="1:28" x14ac:dyDescent="0.25">
      <c r="A14">
        <v>7</v>
      </c>
      <c r="B14" s="3">
        <f>-IT_update_low*Meters_NonVic/5</f>
        <v>-124000000</v>
      </c>
      <c r="C14" s="80">
        <f>1/Rollout_yrs*('One off'!$B18+'One off'!$B17+'One off'!$B16+'One off'!$B15+'One off'!$B14)</f>
        <v>437998094.16187137</v>
      </c>
      <c r="D14" s="79">
        <f t="shared" si="10"/>
        <v>-124000000</v>
      </c>
      <c r="E14" s="79">
        <f t="shared" si="13"/>
        <v>403000000</v>
      </c>
      <c r="F14" s="7">
        <f t="shared" si="0"/>
        <v>0.56146389462359003</v>
      </c>
      <c r="G14" s="3">
        <f t="shared" si="3"/>
        <v>-139243045.86665031</v>
      </c>
      <c r="H14" s="12">
        <f t="shared" si="4"/>
        <v>472190065.31914103</v>
      </c>
      <c r="I14" s="81">
        <f t="shared" si="8"/>
        <v>-259078359.34531364</v>
      </c>
      <c r="K14">
        <v>7</v>
      </c>
      <c r="L14" s="80">
        <f>-IT_update_high*Meters_NonVic/5</f>
        <v>-186000000</v>
      </c>
      <c r="M14" s="80">
        <f>1/Rollout_yrs*('One off'!$C18+'One off'!$C17+'One off'!$C16+'One off'!$C15+'One off'!$C14)</f>
        <v>133745604.53430818</v>
      </c>
      <c r="N14" s="79">
        <f t="shared" si="11"/>
        <v>-186000000</v>
      </c>
      <c r="O14" s="79">
        <f t="shared" si="14"/>
        <v>310000000</v>
      </c>
      <c r="P14" s="7">
        <f t="shared" si="1"/>
        <v>0.56146389462359003</v>
      </c>
      <c r="Q14" s="3">
        <f t="shared" si="9"/>
        <v>-208864568.79997548</v>
      </c>
      <c r="R14" s="12">
        <f t="shared" si="5"/>
        <v>249147135.34393206</v>
      </c>
      <c r="U14">
        <v>7</v>
      </c>
      <c r="V14" s="80">
        <f>-IT_update_medium*Meters_NonVic/5</f>
        <v>-155000000</v>
      </c>
      <c r="W14" s="80">
        <f>1/Rollout_yrs*('One off'!$D18+'One off'!$D17+'One off'!$D16+'One off'!$D15+'One off'!$D14)</f>
        <v>262383802.85098565</v>
      </c>
      <c r="X14" s="79">
        <f t="shared" si="12"/>
        <v>-155000000</v>
      </c>
      <c r="Y14" s="79">
        <f t="shared" si="15"/>
        <v>356500000</v>
      </c>
      <c r="Z14" s="7">
        <f t="shared" si="2"/>
        <v>0.56146389462359003</v>
      </c>
      <c r="AA14" s="3">
        <f t="shared" si="6"/>
        <v>-174053807.3333129</v>
      </c>
      <c r="AB14" s="12">
        <f t="shared" si="7"/>
        <v>347480910.2681725</v>
      </c>
    </row>
    <row r="15" spans="1:28" x14ac:dyDescent="0.25">
      <c r="A15">
        <v>8</v>
      </c>
      <c r="B15" s="80">
        <f>-IT_update_low*Meters_NonVic/5</f>
        <v>-124000000</v>
      </c>
      <c r="C15" s="80">
        <f>1/Rollout_yrs*('One off'!$B19+'One off'!$B18+'One off'!$B17+'One off'!$B16+'One off'!$B15)</f>
        <v>603651452.46144867</v>
      </c>
      <c r="D15" s="79">
        <f t="shared" si="10"/>
        <v>-124000000</v>
      </c>
      <c r="E15" s="79">
        <f t="shared" si="13"/>
        <v>403000000</v>
      </c>
      <c r="F15" s="7">
        <f t="shared" si="0"/>
        <v>0.51987397650332412</v>
      </c>
      <c r="G15" s="3">
        <f t="shared" si="3"/>
        <v>-128928746.17282438</v>
      </c>
      <c r="H15" s="12">
        <f t="shared" si="4"/>
        <v>523331893.54398024</v>
      </c>
      <c r="I15" s="81">
        <f t="shared" si="8"/>
        <v>135324788.02584222</v>
      </c>
      <c r="K15">
        <v>8</v>
      </c>
      <c r="L15" s="80">
        <f>-IT_update_high*Meters_NonVic/5</f>
        <v>-186000000</v>
      </c>
      <c r="M15" s="80">
        <f>1/Rollout_yrs*('One off'!$C19+'One off'!$C18+'One off'!$C17+'One off'!$C16+'One off'!$C15)</f>
        <v>184328949.17490685</v>
      </c>
      <c r="N15" s="79">
        <f t="shared" si="11"/>
        <v>-186000000</v>
      </c>
      <c r="O15" s="79">
        <f t="shared" si="14"/>
        <v>310000000</v>
      </c>
      <c r="P15" s="7">
        <f t="shared" si="1"/>
        <v>0.51987397650332412</v>
      </c>
      <c r="Q15" s="3">
        <f t="shared" si="9"/>
        <v>-193393119.25923657</v>
      </c>
      <c r="R15" s="12">
        <f t="shared" si="5"/>
        <v>256988756.50826842</v>
      </c>
      <c r="U15">
        <v>8</v>
      </c>
      <c r="V15" s="80">
        <f>-IT_update_medium*Meters_NonVic/5</f>
        <v>-155000000</v>
      </c>
      <c r="W15" s="80">
        <f>1/Rollout_yrs*('One off'!$D19+'One off'!$D18+'One off'!$D17+'One off'!$D16+'One off'!$D15)</f>
        <v>361618842.1925419</v>
      </c>
      <c r="X15" s="79">
        <f t="shared" si="12"/>
        <v>-155000000</v>
      </c>
      <c r="Y15" s="79">
        <f t="shared" si="15"/>
        <v>356500000</v>
      </c>
      <c r="Z15" s="7">
        <f t="shared" si="2"/>
        <v>0.51987397650332412</v>
      </c>
      <c r="AA15" s="3">
        <f t="shared" si="6"/>
        <v>-161160932.71603048</v>
      </c>
      <c r="AB15" s="12">
        <f t="shared" si="7"/>
        <v>373331298.09259981</v>
      </c>
    </row>
    <row r="16" spans="1:28" x14ac:dyDescent="0.25">
      <c r="A16">
        <v>9</v>
      </c>
      <c r="B16" s="80">
        <f>-IT_update_low*Meters_NonVic/5</f>
        <v>-124000000</v>
      </c>
      <c r="C16" s="80">
        <f>1/Rollout_yrs*('One off'!$B20+'One off'!$B19+'One off'!$B18+'One off'!$B17+'One off'!$B16)</f>
        <v>782315984.44092894</v>
      </c>
      <c r="D16" s="79">
        <f t="shared" si="10"/>
        <v>-124000000</v>
      </c>
      <c r="E16" s="79">
        <f t="shared" si="13"/>
        <v>403000000</v>
      </c>
      <c r="F16" s="7">
        <f t="shared" si="0"/>
        <v>0.48136479305863344</v>
      </c>
      <c r="G16" s="3">
        <f t="shared" si="3"/>
        <v>-119378468.67854109</v>
      </c>
      <c r="H16" s="12">
        <f t="shared" si="4"/>
        <v>570569383.55949819</v>
      </c>
      <c r="I16" s="81">
        <f t="shared" si="8"/>
        <v>586515702.90679932</v>
      </c>
      <c r="K16">
        <v>9</v>
      </c>
      <c r="L16" s="80">
        <f>-IT_update_high*Meters_NonVic/5</f>
        <v>-186000000</v>
      </c>
      <c r="M16" s="80">
        <f>1/Rollout_yrs*('One off'!$C20+'One off'!$C19+'One off'!$C18+'One off'!$C17+'One off'!$C16)</f>
        <v>238885341.44451272</v>
      </c>
      <c r="N16" s="79">
        <f t="shared" si="11"/>
        <v>-186000000</v>
      </c>
      <c r="O16" s="79">
        <f t="shared" si="14"/>
        <v>310000000</v>
      </c>
      <c r="P16" s="7">
        <f t="shared" si="1"/>
        <v>0.48136479305863344</v>
      </c>
      <c r="Q16" s="3">
        <f t="shared" si="9"/>
        <v>-179067703.01781166</v>
      </c>
      <c r="R16" s="12">
        <f t="shared" si="5"/>
        <v>264214078.79735523</v>
      </c>
      <c r="U16">
        <v>9</v>
      </c>
      <c r="V16" s="80">
        <f>-IT_update_medium*Meters_NonVic/5</f>
        <v>-155000000</v>
      </c>
      <c r="W16" s="80">
        <f>1/Rollout_yrs*('One off'!$D20+'One off'!$D19+'One off'!$D18+'One off'!$D17+'One off'!$D16)</f>
        <v>468648256.15625328</v>
      </c>
      <c r="X16" s="79">
        <f t="shared" si="12"/>
        <v>-155000000</v>
      </c>
      <c r="Y16" s="79">
        <f t="shared" si="15"/>
        <v>356500000</v>
      </c>
      <c r="Z16" s="7">
        <f t="shared" si="2"/>
        <v>0.48136479305863344</v>
      </c>
      <c r="AA16" s="3">
        <f t="shared" si="6"/>
        <v>-149223085.84817636</v>
      </c>
      <c r="AB16" s="12">
        <f t="shared" si="7"/>
        <v>397197319.56734717</v>
      </c>
    </row>
    <row r="17" spans="1:28" x14ac:dyDescent="0.25">
      <c r="A17">
        <v>10</v>
      </c>
      <c r="B17" s="80">
        <f>-IT_update_low*Meters_NonVic/5</f>
        <v>-124000000</v>
      </c>
      <c r="C17" s="80">
        <f>1/Rollout_yrs*('One off'!$B21+'One off'!$B20+'One off'!$B19+'One off'!$B18+'One off'!$B17)</f>
        <v>962406131.51414442</v>
      </c>
      <c r="D17" s="79">
        <f t="shared" si="10"/>
        <v>-124000000</v>
      </c>
      <c r="E17" s="79">
        <f t="shared" si="13"/>
        <v>403000000</v>
      </c>
      <c r="F17" s="7">
        <f t="shared" si="0"/>
        <v>0.44570814172095685</v>
      </c>
      <c r="G17" s="3">
        <f t="shared" si="3"/>
        <v>-110535619.1467973</v>
      </c>
      <c r="H17" s="12">
        <f t="shared" si="4"/>
        <v>608572629.57156968</v>
      </c>
      <c r="I17" s="81">
        <f t="shared" si="8"/>
        <v>1084552713.3315716</v>
      </c>
      <c r="K17">
        <v>10</v>
      </c>
      <c r="L17" s="80">
        <f>-IT_update_high*Meters_NonVic/5</f>
        <v>-186000000</v>
      </c>
      <c r="M17" s="80">
        <f>1/Rollout_yrs*('One off'!$C21+'One off'!$C20+'One off'!$C19+'One off'!$C18+'One off'!$C17)</f>
        <v>293877054.67803669</v>
      </c>
      <c r="N17" s="79">
        <f t="shared" si="11"/>
        <v>-186000000</v>
      </c>
      <c r="O17" s="79">
        <f t="shared" si="14"/>
        <v>310000000</v>
      </c>
      <c r="P17" s="7">
        <f t="shared" si="1"/>
        <v>0.44570814172095685</v>
      </c>
      <c r="Q17" s="3">
        <f t="shared" si="9"/>
        <v>-165803428.72019595</v>
      </c>
      <c r="R17" s="12">
        <f t="shared" si="5"/>
        <v>269152919.8684724</v>
      </c>
      <c r="U17">
        <v>10</v>
      </c>
      <c r="V17" s="80">
        <f>-IT_update_medium*Meters_NonVic/5</f>
        <v>-155000000</v>
      </c>
      <c r="W17" s="80">
        <f>1/Rollout_yrs*('One off'!$D21+'One off'!$D20+'One off'!$D19+'One off'!$D18+'One off'!$D17)</f>
        <v>576531688.24169147</v>
      </c>
      <c r="X17" s="79">
        <f t="shared" si="12"/>
        <v>-155000000</v>
      </c>
      <c r="Y17" s="79">
        <f t="shared" si="15"/>
        <v>356500000</v>
      </c>
      <c r="Z17" s="7">
        <f t="shared" si="2"/>
        <v>0.44570814172095685</v>
      </c>
      <c r="AA17" s="3">
        <f t="shared" si="6"/>
        <v>-138169523.93349662</v>
      </c>
      <c r="AB17" s="12">
        <f t="shared" si="7"/>
        <v>415859819.93297148</v>
      </c>
    </row>
    <row r="18" spans="1:28" x14ac:dyDescent="0.25">
      <c r="A18">
        <v>11</v>
      </c>
      <c r="B18" s="80">
        <f>-IT_update_low*Meters_NonVic/5</f>
        <v>-124000000</v>
      </c>
      <c r="C18" s="80">
        <f>1/Rollout_yrs*('One off'!$B22+'One off'!$B21+'One off'!$B20+'One off'!$B19+'One off'!$B18)</f>
        <v>1133440253.7990167</v>
      </c>
      <c r="D18" s="79">
        <f t="shared" si="10"/>
        <v>-124000000</v>
      </c>
      <c r="E18" s="79">
        <f t="shared" si="13"/>
        <v>403000000</v>
      </c>
      <c r="F18" s="7">
        <f t="shared" si="0"/>
        <v>0.41269272381570077</v>
      </c>
      <c r="G18" s="3">
        <f t="shared" si="3"/>
        <v>-102347795.50629379</v>
      </c>
      <c r="H18" s="12">
        <f t="shared" si="4"/>
        <v>634077713.32040274</v>
      </c>
      <c r="I18" s="81">
        <f t="shared" si="8"/>
        <v>1616282631.1456804</v>
      </c>
      <c r="K18">
        <v>11</v>
      </c>
      <c r="L18" s="80">
        <f>-IT_update_high*Meters_NonVic/5</f>
        <v>-186000000</v>
      </c>
      <c r="M18" s="80">
        <f>1/Rollout_yrs*('One off'!$C22+'One off'!$C21+'One off'!$C20+'One off'!$C19+'One off'!$C18)</f>
        <v>346103451.06169552</v>
      </c>
      <c r="N18" s="79">
        <f t="shared" si="11"/>
        <v>-186000000</v>
      </c>
      <c r="O18" s="79">
        <f t="shared" si="14"/>
        <v>310000000</v>
      </c>
      <c r="P18" s="7">
        <f t="shared" si="1"/>
        <v>0.41269272381570077</v>
      </c>
      <c r="Q18" s="3">
        <f t="shared" si="9"/>
        <v>-153521693.25944069</v>
      </c>
      <c r="R18" s="12">
        <f t="shared" si="5"/>
        <v>270769120.32353246</v>
      </c>
      <c r="U18">
        <v>11</v>
      </c>
      <c r="V18" s="80">
        <f>-IT_update_medium*Meters_NonVic/5</f>
        <v>-155000000</v>
      </c>
      <c r="W18" s="80">
        <f>1/Rollout_yrs*('One off'!$D22+'One off'!$D21+'One off'!$D20+'One off'!$D19+'One off'!$D18)</f>
        <v>678990087.08075166</v>
      </c>
      <c r="X18" s="79">
        <f t="shared" si="12"/>
        <v>-155000000</v>
      </c>
      <c r="Y18" s="79">
        <f t="shared" si="15"/>
        <v>356500000</v>
      </c>
      <c r="Z18" s="7">
        <f t="shared" si="2"/>
        <v>0.41269272381570077</v>
      </c>
      <c r="AA18" s="3">
        <f t="shared" si="6"/>
        <v>-127934744.38286723</v>
      </c>
      <c r="AB18" s="12">
        <f t="shared" si="7"/>
        <v>427339224.52151257</v>
      </c>
    </row>
    <row r="19" spans="1:28" x14ac:dyDescent="0.25">
      <c r="A19">
        <v>12</v>
      </c>
      <c r="B19" s="3"/>
      <c r="C19" s="80">
        <f>1/Rollout_yrs*('One off'!$B23+'One off'!$B22+'One off'!$B21+'One off'!$B20+'One off'!$B19)</f>
        <v>1287780130.60094</v>
      </c>
      <c r="D19" s="79">
        <f t="shared" si="10"/>
        <v>-124000000</v>
      </c>
      <c r="E19" s="79">
        <f t="shared" si="13"/>
        <v>403000000</v>
      </c>
      <c r="F19" s="7">
        <f t="shared" si="0"/>
        <v>0.38212289242194514</v>
      </c>
      <c r="G19" s="3">
        <f t="shared" si="3"/>
        <v>-47383238.660321198</v>
      </c>
      <c r="H19" s="12">
        <f t="shared" si="4"/>
        <v>646085793.95478535</v>
      </c>
      <c r="I19" s="81">
        <f t="shared" si="8"/>
        <v>2214985186.4401445</v>
      </c>
      <c r="K19">
        <v>12</v>
      </c>
      <c r="L19" s="3"/>
      <c r="M19" s="80">
        <f>1/Rollout_yrs*('One off'!$C23+'One off'!$C22+'One off'!$C21+'One off'!$C20+'One off'!$C19)</f>
        <v>393232149.56921715</v>
      </c>
      <c r="N19" s="79">
        <f t="shared" si="11"/>
        <v>-186000000</v>
      </c>
      <c r="O19" s="79">
        <f t="shared" si="14"/>
        <v>310000000</v>
      </c>
      <c r="P19" s="7">
        <f t="shared" si="1"/>
        <v>0.38212289242194514</v>
      </c>
      <c r="Q19" s="3">
        <f t="shared" si="9"/>
        <v>-71074857.990481794</v>
      </c>
      <c r="R19" s="12">
        <f t="shared" si="5"/>
        <v>268721103.0374912</v>
      </c>
      <c r="U19">
        <v>12</v>
      </c>
      <c r="V19" s="80"/>
      <c r="W19" s="80">
        <f>1/Rollout_yrs*('One off'!$D23+'One off'!$D22+'One off'!$D21+'One off'!$D20+'One off'!$D19)</f>
        <v>771447758.35060668</v>
      </c>
      <c r="X19" s="79">
        <f t="shared" si="12"/>
        <v>-155000000</v>
      </c>
      <c r="Y19" s="79">
        <f t="shared" si="15"/>
        <v>356500000</v>
      </c>
      <c r="Z19" s="7">
        <f t="shared" si="2"/>
        <v>0.38212289242194514</v>
      </c>
      <c r="AA19" s="3">
        <f t="shared" si="6"/>
        <v>-59229048.3254015</v>
      </c>
      <c r="AB19" s="12">
        <f t="shared" si="7"/>
        <v>431014659.92178303</v>
      </c>
    </row>
    <row r="20" spans="1:28" x14ac:dyDescent="0.25">
      <c r="A20">
        <v>13</v>
      </c>
      <c r="B20" s="3"/>
      <c r="C20" s="80">
        <f>1/Rollout_yrs*('One off'!$B24+'One off'!$B23+'One off'!$B22+'One off'!$B21+'One off'!$B20)</f>
        <v>1421224992.0772905</v>
      </c>
      <c r="D20" s="79">
        <f t="shared" si="10"/>
        <v>-124000000</v>
      </c>
      <c r="E20" s="79">
        <f t="shared" si="13"/>
        <v>403000000</v>
      </c>
      <c r="F20" s="7">
        <f t="shared" si="0"/>
        <v>0.35381749298328247</v>
      </c>
      <c r="G20" s="3">
        <f t="shared" si="3"/>
        <v>-43873369.129927024</v>
      </c>
      <c r="H20" s="12">
        <f t="shared" si="4"/>
        <v>645442713.33423531</v>
      </c>
      <c r="I20" s="81">
        <f t="shared" si="8"/>
        <v>2816554530.6444526</v>
      </c>
      <c r="K20">
        <v>13</v>
      </c>
      <c r="L20" s="3"/>
      <c r="M20" s="80">
        <f>1/Rollout_yrs*('One off'!$C24+'One off'!$C23+'One off'!$C22+'One off'!$C21+'One off'!$C20)</f>
        <v>433980417.44536811</v>
      </c>
      <c r="N20" s="79">
        <f t="shared" si="11"/>
        <v>-186000000</v>
      </c>
      <c r="O20" s="79">
        <f t="shared" si="14"/>
        <v>310000000</v>
      </c>
      <c r="P20" s="7">
        <f t="shared" si="1"/>
        <v>0.35381749298328247</v>
      </c>
      <c r="Q20" s="3">
        <f t="shared" si="9"/>
        <v>-65810053.694890536</v>
      </c>
      <c r="R20" s="12">
        <f t="shared" si="5"/>
        <v>263233286.12917608</v>
      </c>
      <c r="U20">
        <v>13</v>
      </c>
      <c r="V20" s="80"/>
      <c r="W20" s="80">
        <f>1/Rollout_yrs*('One off'!$D24+'One off'!$D23+'One off'!$D22+'One off'!$D21+'One off'!$D20)</f>
        <v>851388220.85898423</v>
      </c>
      <c r="X20" s="79">
        <f t="shared" si="12"/>
        <v>-155000000</v>
      </c>
      <c r="Y20" s="79">
        <f t="shared" si="15"/>
        <v>356500000</v>
      </c>
      <c r="Z20" s="7">
        <f t="shared" si="2"/>
        <v>0.35381749298328247</v>
      </c>
      <c r="AA20" s="3">
        <f t="shared" si="6"/>
        <v>-54841711.412408784</v>
      </c>
      <c r="AB20" s="12">
        <f t="shared" si="7"/>
        <v>427371982.10836321</v>
      </c>
    </row>
    <row r="21" spans="1:28" x14ac:dyDescent="0.25">
      <c r="A21">
        <v>14</v>
      </c>
      <c r="B21" s="3"/>
      <c r="C21" s="80">
        <f>1/Rollout_yrs*('One off'!$B25+'One off'!$B24+'One off'!$B23+'One off'!$B22+'One off'!$B21)</f>
        <v>1532642979.7746468</v>
      </c>
      <c r="D21" s="79">
        <f t="shared" si="10"/>
        <v>-124000000</v>
      </c>
      <c r="E21" s="79">
        <f t="shared" si="13"/>
        <v>403000000</v>
      </c>
      <c r="F21" s="7">
        <f t="shared" si="0"/>
        <v>0.32760878979933561</v>
      </c>
      <c r="G21" s="3">
        <f t="shared" si="3"/>
        <v>-40623489.935117617</v>
      </c>
      <c r="H21" s="12">
        <f t="shared" si="4"/>
        <v>634133654.08755183</v>
      </c>
      <c r="I21" s="81">
        <f t="shared" si="8"/>
        <v>3410064694.7968864</v>
      </c>
      <c r="K21">
        <v>14</v>
      </c>
      <c r="L21" s="3"/>
      <c r="M21" s="80">
        <f>1/Rollout_yrs*('One off'!$C25+'One off'!$C24+'One off'!$C23+'One off'!$C22+'One off'!$C21)</f>
        <v>468002634.25225621</v>
      </c>
      <c r="N21" s="79">
        <f t="shared" si="11"/>
        <v>-186000000</v>
      </c>
      <c r="O21" s="79">
        <f t="shared" si="14"/>
        <v>310000000</v>
      </c>
      <c r="P21" s="7">
        <f t="shared" si="1"/>
        <v>0.32760878979933561</v>
      </c>
      <c r="Q21" s="3">
        <f t="shared" si="9"/>
        <v>-60935234.902676426</v>
      </c>
      <c r="R21" s="12">
        <f t="shared" si="5"/>
        <v>254880501.46807677</v>
      </c>
      <c r="U21">
        <v>14</v>
      </c>
      <c r="V21" s="80"/>
      <c r="W21" s="80">
        <f>1/Rollout_yrs*('One off'!$D25+'One off'!$D24+'One off'!$D23+'One off'!$D22+'One off'!$D21)</f>
        <v>918133432.10009158</v>
      </c>
      <c r="X21" s="79">
        <f t="shared" si="12"/>
        <v>-155000000</v>
      </c>
      <c r="Y21" s="79">
        <f t="shared" si="15"/>
        <v>356500000</v>
      </c>
      <c r="Z21" s="7">
        <f t="shared" si="2"/>
        <v>0.32760878979933561</v>
      </c>
      <c r="AA21" s="3">
        <f t="shared" si="6"/>
        <v>-50779362.418897018</v>
      </c>
      <c r="AB21" s="12">
        <f t="shared" si="7"/>
        <v>417581116.1280846</v>
      </c>
    </row>
    <row r="22" spans="1:28" x14ac:dyDescent="0.25">
      <c r="A22">
        <v>15</v>
      </c>
      <c r="B22" s="3"/>
      <c r="C22" s="80">
        <f>1/Rollout_yrs*('One off'!$B26+'One off'!$B25+'One off'!$B24+'One off'!$B23+'One off'!$B22)</f>
        <v>1270379565.2141008</v>
      </c>
      <c r="D22" s="2">
        <f>4/5*-yrly_opex_low*Meters_NonVic</f>
        <v>-99200000</v>
      </c>
      <c r="E22" s="2">
        <f>4/5*business_eff_high*Meters_NonVic</f>
        <v>322400000</v>
      </c>
      <c r="F22" s="7">
        <f t="shared" si="0"/>
        <v>0.30334147203642187</v>
      </c>
      <c r="G22" s="3">
        <f t="shared" si="3"/>
        <v>-30091474.02601305</v>
      </c>
      <c r="H22" s="12">
        <f t="shared" si="4"/>
        <v>483156097.94157737</v>
      </c>
      <c r="I22" s="81">
        <f t="shared" si="8"/>
        <v>3863129318.712451</v>
      </c>
      <c r="K22">
        <v>15</v>
      </c>
      <c r="L22" s="3"/>
      <c r="M22" s="80">
        <f>1/Rollout_yrs*('One off'!$C26+'One off'!$C25+'One off'!$C24+'One off'!$C23+'One off'!$C22)</f>
        <v>387918772.25565863</v>
      </c>
      <c r="N22" s="79">
        <f>4/5*-yrly_opex_high*Meters_NonVic</f>
        <v>-148800000</v>
      </c>
      <c r="O22" s="79">
        <f>4/5*business_eff_low*Meters_NonVic</f>
        <v>248000000</v>
      </c>
      <c r="P22" s="7">
        <f t="shared" si="1"/>
        <v>0.30334147203642187</v>
      </c>
      <c r="Q22" s="3">
        <f t="shared" si="9"/>
        <v>-45137211.039019577</v>
      </c>
      <c r="R22" s="12">
        <f t="shared" si="5"/>
        <v>192900536.4716256</v>
      </c>
      <c r="U22">
        <v>15</v>
      </c>
      <c r="V22" s="80"/>
      <c r="W22" s="80">
        <f>1/Rollout_yrs*('One off'!$D26+'One off'!$D25+'One off'!$D24+'One off'!$D23+'One off'!$D22)</f>
        <v>761023908.15853536</v>
      </c>
      <c r="X22" s="79">
        <f>4/5*-yrly_opex_medium*Meters_NonVic</f>
        <v>-124000000</v>
      </c>
      <c r="Y22" s="79">
        <f>4/5*business_eff_medium*Meters_NonVic</f>
        <v>285200000</v>
      </c>
      <c r="Z22" s="7">
        <f t="shared" si="2"/>
        <v>0.30334147203642187</v>
      </c>
      <c r="AA22" s="3">
        <f t="shared" si="6"/>
        <v>-37614342.532516308</v>
      </c>
      <c r="AB22" s="12">
        <f t="shared" si="7"/>
        <v>317363100.38050836</v>
      </c>
    </row>
    <row r="23" spans="1:28" x14ac:dyDescent="0.25">
      <c r="A23">
        <v>16</v>
      </c>
      <c r="C23" s="80">
        <f>1/Rollout_yrs*('One off'!$B27+'One off'!$B26+'One off'!$B25+'One off'!$B24+'One off'!$B23)</f>
        <v>981392771.47748876</v>
      </c>
      <c r="D23" s="79">
        <f>3/5*-yrly_opex_low*Meters_NonVic</f>
        <v>-74400000</v>
      </c>
      <c r="E23" s="79">
        <f>3/5*business_eff_high*Meters_NonVic</f>
        <v>241800000</v>
      </c>
      <c r="F23" s="7">
        <f t="shared" si="0"/>
        <v>0.28087173336705723</v>
      </c>
      <c r="G23" s="3">
        <f t="shared" si="3"/>
        <v>-20896856.962509058</v>
      </c>
      <c r="H23" s="12">
        <f t="shared" si="4"/>
        <v>343560273.96693701</v>
      </c>
      <c r="I23" s="81">
        <f t="shared" si="8"/>
        <v>4185792735.7168789</v>
      </c>
      <c r="K23">
        <v>16</v>
      </c>
      <c r="L23" s="3"/>
      <c r="M23" s="80">
        <f>1/Rollout_yrs*('One off'!$C27+'One off'!$C26+'One off'!$C25+'One off'!$C24+'One off'!$C23)</f>
        <v>299674750.31603253</v>
      </c>
      <c r="N23" s="79">
        <f>3/5*-yrly_opex_high*Meters_NonVic</f>
        <v>-111600000</v>
      </c>
      <c r="O23" s="79">
        <f>3/5*business_eff_low*Meters_NonVic</f>
        <v>186000000</v>
      </c>
      <c r="P23" s="7">
        <f t="shared" si="1"/>
        <v>0.28087173336705723</v>
      </c>
      <c r="Q23" s="3">
        <f t="shared" ref="Q23:Q25" si="16">P23*(L23+N23)</f>
        <v>-31345285.443763588</v>
      </c>
      <c r="R23" s="12">
        <f t="shared" ref="R23:R25" si="17">P23*(M23+O23)</f>
        <v>136412308.97387677</v>
      </c>
      <c r="U23">
        <v>16</v>
      </c>
      <c r="V23" s="80"/>
      <c r="W23" s="80">
        <f>1/Rollout_yrs*('One off'!$D27+'One off'!$D26+'One off'!$D25+'One off'!$D24+'One off'!$D23)</f>
        <v>587905680.19130862</v>
      </c>
      <c r="X23" s="79">
        <f>3/5*-yrly_opex_medium*Meters_NonVic</f>
        <v>-93000000</v>
      </c>
      <c r="Y23" s="79">
        <f>3/5*business_eff_medium*Meters_NonVic</f>
        <v>213900000</v>
      </c>
      <c r="Z23" s="7">
        <f t="shared" si="2"/>
        <v>0.28087173336705723</v>
      </c>
      <c r="AA23" s="3">
        <f t="shared" ref="AA23:AA26" si="18">Z23*(V23+X23)</f>
        <v>-26121071.203136321</v>
      </c>
      <c r="AB23" s="12">
        <f t="shared" ref="AB23:AB26" si="19">Z23*(W23+Y23)</f>
        <v>225204551.21888518</v>
      </c>
    </row>
    <row r="24" spans="1:28" x14ac:dyDescent="0.25">
      <c r="A24">
        <v>17</v>
      </c>
      <c r="C24" s="80">
        <f>1/Rollout_yrs*('One off'!$B28+'One off'!$B27+'One off'!$B26+'One off'!$B25+'One off'!$B24)</f>
        <v>670506338.88759625</v>
      </c>
      <c r="D24" s="79">
        <f>2/5*-yrly_opex_low*Meters_NonVic</f>
        <v>-49600000</v>
      </c>
      <c r="E24" s="79">
        <f>2/5*business_eff_high*Meters_NonVic</f>
        <v>161200000</v>
      </c>
      <c r="F24" s="7">
        <f t="shared" si="0"/>
        <v>0.26006641978431222</v>
      </c>
      <c r="G24" s="3">
        <f t="shared" si="3"/>
        <v>-12899294.421301886</v>
      </c>
      <c r="H24" s="12">
        <f t="shared" si="4"/>
        <v>216298889.86641505</v>
      </c>
      <c r="I24" s="81">
        <f t="shared" si="8"/>
        <v>4389192331.1619921</v>
      </c>
      <c r="K24">
        <v>17</v>
      </c>
      <c r="L24" s="3"/>
      <c r="M24" s="80">
        <f>1/Rollout_yrs*('One off'!$C28+'One off'!$C27+'One off'!$C26+'One off'!$C25+'One off'!$C24)</f>
        <v>204743529.33021018</v>
      </c>
      <c r="N24" s="79">
        <f>2/5*-yrly_opex_high*Meters_NonVic</f>
        <v>-74400000</v>
      </c>
      <c r="O24" s="79">
        <f>2/5*business_eff_low*Meters_NonVic</f>
        <v>124000000</v>
      </c>
      <c r="P24" s="7">
        <f t="shared" si="1"/>
        <v>0.26006641978431222</v>
      </c>
      <c r="Q24" s="3">
        <f t="shared" si="16"/>
        <v>-19348941.63195283</v>
      </c>
      <c r="R24" s="12">
        <f t="shared" si="17"/>
        <v>85495152.700166807</v>
      </c>
      <c r="U24">
        <v>17</v>
      </c>
      <c r="V24" s="80"/>
      <c r="W24" s="80">
        <f>1/Rollout_yrs*('One off'!$D28+'One off'!$D27+'One off'!$D26+'One off'!$D25+'One off'!$D24)</f>
        <v>401668421.3424924</v>
      </c>
      <c r="X24" s="79">
        <f>2/5*-yrly_opex_medium*Meters_NonVic</f>
        <v>-62000000</v>
      </c>
      <c r="Y24" s="79">
        <f>2/5*business_eff_medium*Meters_NonVic</f>
        <v>142600000</v>
      </c>
      <c r="Z24" s="7">
        <f t="shared" si="2"/>
        <v>0.26006641978431222</v>
      </c>
      <c r="AA24" s="3">
        <f t="shared" si="18"/>
        <v>-16124118.026627358</v>
      </c>
      <c r="AB24" s="12">
        <f t="shared" si="19"/>
        <v>141545939.74020153</v>
      </c>
    </row>
    <row r="25" spans="1:28" x14ac:dyDescent="0.25">
      <c r="A25">
        <v>18</v>
      </c>
      <c r="C25" s="80">
        <f>1/Rollout_yrs*('One off'!$B29+'One off'!$B28+'One off'!$B27+'One off'!$B26+'One off'!$B25)</f>
        <v>342116333.09812111</v>
      </c>
      <c r="D25" s="79">
        <f>1/5*-yrly_opex_low*Meters_NonVic</f>
        <v>-24800000</v>
      </c>
      <c r="E25" s="79">
        <f>1/5*business_eff_high*Meters_NonVic</f>
        <v>80600000</v>
      </c>
      <c r="F25" s="7">
        <f t="shared" si="0"/>
        <v>0.24080224054102983</v>
      </c>
      <c r="G25" s="3">
        <f t="shared" si="3"/>
        <v>-5971895.5654175403</v>
      </c>
      <c r="H25" s="12">
        <f t="shared" si="4"/>
        <v>101791040.12331586</v>
      </c>
      <c r="I25" s="81">
        <f t="shared" si="8"/>
        <v>4485011475.7198906</v>
      </c>
      <c r="K25">
        <v>18</v>
      </c>
      <c r="L25" s="3"/>
      <c r="M25" s="80">
        <f>1/Rollout_yrs*('One off'!$C29+'One off'!$C28+'One off'!$C27+'One off'!$C26+'One off'!$C25)</f>
        <v>104467476.91636908</v>
      </c>
      <c r="N25" s="79">
        <f>1/5*-yrly_opex_high*Meters_NonVic</f>
        <v>-37200000</v>
      </c>
      <c r="O25" s="79">
        <f>1/5*business_eff_low*Meters_NonVic</f>
        <v>62000000</v>
      </c>
      <c r="P25" s="7">
        <f t="shared" si="1"/>
        <v>0.24080224054102983</v>
      </c>
      <c r="Q25" s="3">
        <f t="shared" si="16"/>
        <v>-8957843.348126309</v>
      </c>
      <c r="R25" s="12">
        <f t="shared" si="17"/>
        <v>40085741.418673836</v>
      </c>
      <c r="U25">
        <v>18</v>
      </c>
      <c r="V25" s="80"/>
      <c r="W25" s="80">
        <f>1/Rollout_yrs*('One off'!$D29+'One off'!$D28+'One off'!$D27+'One off'!$D26+'One off'!$D25)</f>
        <v>204945605.22572663</v>
      </c>
      <c r="X25" s="79">
        <f>1/5*-yrly_opex_medium*Meters_NonVic</f>
        <v>-31000000</v>
      </c>
      <c r="Y25" s="79">
        <f>1/5*business_eff_medium*Meters_NonVic</f>
        <v>71300000</v>
      </c>
      <c r="Z25" s="7">
        <f t="shared" si="2"/>
        <v>0.24080224054102983</v>
      </c>
      <c r="AA25" s="3">
        <f t="shared" si="18"/>
        <v>-7464869.4567719251</v>
      </c>
      <c r="AB25" s="12">
        <f t="shared" si="19"/>
        <v>66520560.677967787</v>
      </c>
    </row>
    <row r="26" spans="1:28" x14ac:dyDescent="0.25">
      <c r="C26" s="80"/>
      <c r="D26" s="79"/>
      <c r="E26" s="2"/>
      <c r="F26" s="7"/>
      <c r="G26" s="3"/>
      <c r="H26" s="12"/>
      <c r="L26" s="3"/>
      <c r="M26" s="80"/>
      <c r="N26" s="2"/>
      <c r="O26" s="2"/>
      <c r="P26" s="7"/>
      <c r="Q26" s="3"/>
      <c r="R26" s="12"/>
      <c r="U26">
        <v>19</v>
      </c>
      <c r="V26" s="3"/>
      <c r="W26" s="80"/>
      <c r="X26" s="2"/>
      <c r="Y26" s="2"/>
      <c r="Z26" s="7">
        <f t="shared" si="2"/>
        <v>0.96225044864937614</v>
      </c>
      <c r="AA26" s="3">
        <f t="shared" si="18"/>
        <v>0</v>
      </c>
      <c r="AB26" s="12">
        <f t="shared" si="19"/>
        <v>0</v>
      </c>
    </row>
    <row r="28" spans="1:28" x14ac:dyDescent="0.25">
      <c r="H28" t="s">
        <v>90</v>
      </c>
      <c r="I28" s="12">
        <f>SUM(G7:G25)</f>
        <v>-2640684807.0092406</v>
      </c>
      <c r="Q28" t="s">
        <v>90</v>
      </c>
      <c r="R28" s="12">
        <f>SUM(Q7:Q25)</f>
        <v>-5993376874.6847486</v>
      </c>
      <c r="AA28" t="s">
        <v>90</v>
      </c>
      <c r="AB28" s="12">
        <f>SUM(AA7:AA25)</f>
        <v>-4317030840.8469944</v>
      </c>
    </row>
    <row r="29" spans="1:28" x14ac:dyDescent="0.25">
      <c r="C29" s="3"/>
      <c r="H29" t="s">
        <v>91</v>
      </c>
      <c r="I29" s="12">
        <f>SUM(H7:H25)</f>
        <v>7125696282.7291298</v>
      </c>
      <c r="Q29" t="s">
        <v>91</v>
      </c>
      <c r="R29" s="12">
        <f>SUM(R7:R25)</f>
        <v>3311217837.2780395</v>
      </c>
      <c r="AA29" t="s">
        <v>91</v>
      </c>
      <c r="AB29" s="12">
        <f>SUM(AB7:AB25)</f>
        <v>4967585388.84268</v>
      </c>
    </row>
    <row r="30" spans="1:28" x14ac:dyDescent="0.25">
      <c r="C30" s="3"/>
      <c r="H30" s="1" t="s">
        <v>12</v>
      </c>
      <c r="I30" s="2">
        <f>SUM(G7:H25)</f>
        <v>4485011475.7198906</v>
      </c>
      <c r="Q30" s="1" t="s">
        <v>12</v>
      </c>
      <c r="R30" s="2">
        <f>SUM(Q7:R25)</f>
        <v>-2682159037.4067078</v>
      </c>
      <c r="AA30" s="1" t="s">
        <v>12</v>
      </c>
      <c r="AB30" s="2">
        <f>SUM(AA7:AB25)</f>
        <v>650554547.99568415</v>
      </c>
    </row>
    <row r="31" spans="1:28" x14ac:dyDescent="0.25">
      <c r="A31" s="46"/>
      <c r="C31" s="3"/>
      <c r="H31" s="1" t="s">
        <v>13</v>
      </c>
      <c r="I31" s="9">
        <f>-SUM(H7:H25)/SUM(G7:G25)</f>
        <v>2.6984274169394253</v>
      </c>
      <c r="Q31" s="1" t="s">
        <v>13</v>
      </c>
      <c r="R31" s="9">
        <f>-SUM(R7:R25)/SUM(Q7:Q25)</f>
        <v>0.5524794963694335</v>
      </c>
      <c r="AA31" s="1" t="s">
        <v>13</v>
      </c>
      <c r="AB31" s="9">
        <f>-SUM(AB7:AB25)/SUM(AA7:AA25)</f>
        <v>1.1506949039697034</v>
      </c>
    </row>
    <row r="32" spans="1:28" x14ac:dyDescent="0.25">
      <c r="M32" s="3"/>
    </row>
    <row r="33" spans="1:28" x14ac:dyDescent="0.25">
      <c r="M33" s="3"/>
    </row>
    <row r="34" spans="1:28" ht="24" thickBot="1" x14ac:dyDescent="0.4">
      <c r="A34" s="10" t="s">
        <v>113</v>
      </c>
      <c r="M34" s="3"/>
    </row>
    <row r="35" spans="1:28" ht="15.75" thickBot="1" x14ac:dyDescent="0.3">
      <c r="A35" s="27"/>
      <c r="B35" s="28" t="s">
        <v>44</v>
      </c>
      <c r="C35" s="28" t="s">
        <v>45</v>
      </c>
      <c r="D35" s="28" t="s">
        <v>46</v>
      </c>
      <c r="E35" s="28" t="s">
        <v>47</v>
      </c>
      <c r="F35" s="81"/>
      <c r="M35" s="3"/>
      <c r="R35" s="12"/>
    </row>
    <row r="36" spans="1:28" x14ac:dyDescent="0.25">
      <c r="A36" s="35" t="s">
        <v>48</v>
      </c>
      <c r="B36" s="36" t="s">
        <v>49</v>
      </c>
      <c r="C36" s="37">
        <f>Meters_NonVic</f>
        <v>6200000</v>
      </c>
      <c r="D36" s="37">
        <f>Meters_NonVic</f>
        <v>6200000</v>
      </c>
      <c r="E36" s="37">
        <f>Meters_NonVic</f>
        <v>6200000</v>
      </c>
      <c r="G36" s="1"/>
      <c r="M36" s="3"/>
      <c r="AA36" s="1"/>
    </row>
    <row r="37" spans="1:28" x14ac:dyDescent="0.25">
      <c r="A37" s="35" t="s">
        <v>50</v>
      </c>
      <c r="B37" s="36" t="s">
        <v>51</v>
      </c>
      <c r="C37" s="20">
        <f>L4</f>
        <v>11550</v>
      </c>
      <c r="D37" s="20">
        <f>V4</f>
        <v>13200</v>
      </c>
      <c r="E37" s="20">
        <f>PeakD_nonVic_max</f>
        <v>14850</v>
      </c>
      <c r="G37" s="1"/>
      <c r="M37" s="3"/>
      <c r="P37" s="1"/>
      <c r="AA37" s="1"/>
    </row>
    <row r="38" spans="1:28" x14ac:dyDescent="0.25">
      <c r="A38" s="35" t="s">
        <v>52</v>
      </c>
      <c r="B38" s="36" t="s">
        <v>53</v>
      </c>
      <c r="C38" s="36">
        <f>smart_meter_costs_high</f>
        <v>800</v>
      </c>
      <c r="D38" s="36">
        <f>smart_meter_costs_medium</f>
        <v>535</v>
      </c>
      <c r="E38" s="36">
        <f>smart_meter_costs_low</f>
        <v>270</v>
      </c>
      <c r="H38" s="20"/>
      <c r="M38" s="3"/>
      <c r="P38" s="1"/>
      <c r="R38" s="20"/>
      <c r="AB38" s="20"/>
    </row>
    <row r="39" spans="1:28" x14ac:dyDescent="0.25">
      <c r="A39" s="35" t="s">
        <v>54</v>
      </c>
      <c r="B39" s="36" t="s">
        <v>53</v>
      </c>
      <c r="C39" s="36">
        <f>IT_update_high</f>
        <v>150</v>
      </c>
      <c r="D39" s="36">
        <f>IT_update_medium</f>
        <v>125</v>
      </c>
      <c r="E39" s="36">
        <f>IT_update_low</f>
        <v>100</v>
      </c>
      <c r="M39" s="3"/>
    </row>
    <row r="40" spans="1:28" x14ac:dyDescent="0.25">
      <c r="A40" s="35" t="s">
        <v>55</v>
      </c>
      <c r="B40" s="232" t="s">
        <v>78</v>
      </c>
      <c r="C40" s="230"/>
      <c r="D40" s="230"/>
      <c r="E40" s="230"/>
      <c r="M40" s="3"/>
    </row>
    <row r="41" spans="1:28" x14ac:dyDescent="0.25">
      <c r="A41" s="35" t="s">
        <v>57</v>
      </c>
      <c r="B41" s="36" t="s">
        <v>58</v>
      </c>
      <c r="C41" s="36">
        <f>yrly_opex_high</f>
        <v>30</v>
      </c>
      <c r="D41" s="36">
        <f>yrly_opex_medium</f>
        <v>25</v>
      </c>
      <c r="E41" s="36">
        <f>yrly_opex_low</f>
        <v>20</v>
      </c>
      <c r="M41" s="3"/>
    </row>
    <row r="42" spans="1:28" ht="25.5" x14ac:dyDescent="0.25">
      <c r="A42" s="35" t="s">
        <v>59</v>
      </c>
      <c r="B42" s="123" t="s">
        <v>244</v>
      </c>
      <c r="C42" s="36">
        <f>savings_low</f>
        <v>271.27285019321818</v>
      </c>
      <c r="D42" s="36">
        <f>savings_medium</f>
        <v>326.27285019321818</v>
      </c>
      <c r="E42" s="36">
        <f>savings_high</f>
        <v>381.27285019321818</v>
      </c>
      <c r="M42" s="3"/>
    </row>
    <row r="43" spans="1:28" ht="25.5" x14ac:dyDescent="0.25">
      <c r="A43" s="35" t="s">
        <v>60</v>
      </c>
      <c r="B43" s="36" t="s">
        <v>61</v>
      </c>
      <c r="C43" s="38">
        <f>(1-EXP(-elasticity_low*LN(before_after_price)))*100</f>
        <v>18.774760364376451</v>
      </c>
      <c r="D43" s="38">
        <f>(1-EXP(-elasticity_medium*LN(before_after_price)))*100</f>
        <v>26.795715202718728</v>
      </c>
      <c r="E43" s="38">
        <f>(1-EXP(-elasticity_high*LN(before_after_price)))*100</f>
        <v>34.024604461355288</v>
      </c>
      <c r="M43" s="3"/>
    </row>
    <row r="44" spans="1:28" ht="30" customHeight="1" x14ac:dyDescent="0.25">
      <c r="A44" s="35" t="s">
        <v>62</v>
      </c>
      <c r="B44" s="233" t="s">
        <v>80</v>
      </c>
      <c r="C44" s="231"/>
      <c r="D44" s="231"/>
      <c r="E44" s="231"/>
      <c r="M44" s="3"/>
    </row>
    <row r="45" spans="1:28" x14ac:dyDescent="0.25">
      <c r="A45" s="35" t="s">
        <v>64</v>
      </c>
      <c r="B45" s="36" t="s">
        <v>65</v>
      </c>
      <c r="C45" s="36">
        <f>discount_rate</f>
        <v>8</v>
      </c>
      <c r="D45" s="36">
        <f>discount_rate</f>
        <v>8</v>
      </c>
      <c r="E45" s="36">
        <f>discount_rate</f>
        <v>8</v>
      </c>
      <c r="M45" s="3"/>
    </row>
    <row r="46" spans="1:28" x14ac:dyDescent="0.25">
      <c r="A46" s="35" t="s">
        <v>6</v>
      </c>
      <c r="B46" s="36" t="s">
        <v>66</v>
      </c>
      <c r="C46" s="38">
        <f>-R28/1000000</f>
        <v>5993.3768746847491</v>
      </c>
      <c r="D46" s="38">
        <f>AB28/1000000*-1</f>
        <v>4317.0308408469946</v>
      </c>
      <c r="E46" s="38">
        <f>I28/1000000*-1</f>
        <v>2640.6848070092406</v>
      </c>
      <c r="M46" s="3"/>
    </row>
    <row r="47" spans="1:28" x14ac:dyDescent="0.25">
      <c r="A47" s="35" t="s">
        <v>5</v>
      </c>
      <c r="B47" s="36" t="s">
        <v>66</v>
      </c>
      <c r="C47" s="38">
        <f>R29/1000000</f>
        <v>3311.2178372780395</v>
      </c>
      <c r="D47" s="38">
        <f>AB29/1000000</f>
        <v>4967.58538884268</v>
      </c>
      <c r="E47" s="38">
        <f>I29/1000000</f>
        <v>7125.69628272913</v>
      </c>
      <c r="M47" s="3"/>
    </row>
    <row r="48" spans="1:28" x14ac:dyDescent="0.25">
      <c r="A48" s="35" t="s">
        <v>12</v>
      </c>
      <c r="B48" s="36" t="s">
        <v>66</v>
      </c>
      <c r="C48" s="38">
        <f>C47-C46</f>
        <v>-2682.1590374067096</v>
      </c>
      <c r="D48" s="38">
        <f t="shared" ref="D48:E48" si="20">D47-D46</f>
        <v>650.55454799568543</v>
      </c>
      <c r="E48" s="38">
        <f t="shared" si="20"/>
        <v>4485.0114757198899</v>
      </c>
      <c r="M48" s="3"/>
    </row>
    <row r="49" spans="1:5" x14ac:dyDescent="0.25">
      <c r="A49" s="31" t="s">
        <v>227</v>
      </c>
      <c r="B49" s="32" t="s">
        <v>68</v>
      </c>
      <c r="C49" s="40">
        <f>C48*1000000/Meters_NonVic</f>
        <v>-432.6062963559209</v>
      </c>
      <c r="D49" s="40">
        <f>D48*1000000/Meters_NonVic</f>
        <v>104.92815290252992</v>
      </c>
      <c r="E49" s="40">
        <f>E48*1000000/Meters_NonVic</f>
        <v>723.38894769675642</v>
      </c>
    </row>
    <row r="50" spans="1:5" ht="15.75" thickBot="1" x14ac:dyDescent="0.3">
      <c r="A50" s="33" t="s">
        <v>21</v>
      </c>
      <c r="B50" s="34" t="s">
        <v>69</v>
      </c>
      <c r="C50" s="39">
        <f>C47/C46</f>
        <v>0.5524794963694335</v>
      </c>
      <c r="D50" s="39">
        <f>D47/D46</f>
        <v>1.1506949039697034</v>
      </c>
      <c r="E50" s="39">
        <f>E47/E46</f>
        <v>2.6984274169394253</v>
      </c>
    </row>
    <row r="51" spans="1:5" ht="25.5" x14ac:dyDescent="0.25">
      <c r="A51" s="50" t="s">
        <v>87</v>
      </c>
      <c r="B51" s="51" t="s">
        <v>88</v>
      </c>
      <c r="C51" s="3">
        <f>(C49*discount_rate/100)/((1+discount_rate/100)^0.5-1/(1+discount_rate/100)^14.5)</f>
        <v>-48.633289238071221</v>
      </c>
      <c r="D51" s="3">
        <f>(D49*discount_rate/100)/((1+discount_rate/100)^0.5-1/(1+discount_rate/100)^14.5)</f>
        <v>11.795947614056168</v>
      </c>
      <c r="E51" s="3">
        <f>(E49*discount_rate/100)/((1+discount_rate/100)^0.5-1/(1+discount_rate/100)^14.5)</f>
        <v>81.322866128642346</v>
      </c>
    </row>
    <row r="52" spans="1:5" x14ac:dyDescent="0.25">
      <c r="A52" s="56"/>
      <c r="B52" s="56"/>
      <c r="C52" s="56"/>
      <c r="D52" s="56" t="s">
        <v>95</v>
      </c>
      <c r="E52" s="56" t="s">
        <v>96</v>
      </c>
    </row>
    <row r="53" spans="1:5" ht="25.5" x14ac:dyDescent="0.25">
      <c r="A53" s="57" t="s">
        <v>98</v>
      </c>
      <c r="B53" s="55"/>
      <c r="C53" s="55"/>
      <c r="D53" s="53">
        <f>_xlfn.BETA.INV(0.25,B63,B64,C49,E49)</f>
        <v>-97.688513384321709</v>
      </c>
      <c r="E53" s="53">
        <f>_xlfn.BETA.INV(0.75,B63,B64,C49,E49)</f>
        <v>314.91480655794726</v>
      </c>
    </row>
    <row r="54" spans="1:5" ht="25.5" x14ac:dyDescent="0.25">
      <c r="A54" s="57" t="s">
        <v>216</v>
      </c>
      <c r="B54" s="55"/>
      <c r="C54" s="55"/>
      <c r="D54" s="53">
        <f>MROUND((D53*discount_rate/100)/((1+discount_rate/100)^0.5-1/(1+discount_rate/100)^14.5),-5)</f>
        <v>-10</v>
      </c>
      <c r="E54" s="53">
        <f>MROUND((E53*discount_rate/100)/((1+discount_rate/100)^0.5-1/(1+discount_rate/100)^14.5),5)</f>
        <v>35</v>
      </c>
    </row>
    <row r="56" spans="1:5" x14ac:dyDescent="0.25">
      <c r="A56" s="50"/>
      <c r="B56" s="51"/>
      <c r="C56" s="3"/>
      <c r="D56" s="76"/>
    </row>
    <row r="57" spans="1:5" ht="33" customHeight="1" x14ac:dyDescent="0.25">
      <c r="A57" s="50"/>
    </row>
    <row r="58" spans="1:5" x14ac:dyDescent="0.25">
      <c r="A58" s="50"/>
    </row>
    <row r="60" spans="1:5" x14ac:dyDescent="0.25">
      <c r="A60" s="1" t="s">
        <v>97</v>
      </c>
    </row>
    <row r="61" spans="1:5" ht="36" customHeight="1" x14ac:dyDescent="0.25">
      <c r="A61" s="54" t="s">
        <v>115</v>
      </c>
      <c r="B61" s="58">
        <f>_xlfn.BETA.INV(0.5,B63,B64,$C$49,$E$49)</f>
        <v>104.92817904876392</v>
      </c>
    </row>
    <row r="62" spans="1:5" x14ac:dyDescent="0.25">
      <c r="A62" s="54" t="s">
        <v>94</v>
      </c>
      <c r="B62" s="62">
        <f>_xlfn.BETA.INV(0.75,B63,B64,C49,E49)</f>
        <v>314.91480655794726</v>
      </c>
    </row>
    <row r="63" spans="1:5" x14ac:dyDescent="0.25">
      <c r="A63" s="54" t="s">
        <v>92</v>
      </c>
      <c r="B63" s="59">
        <v>1.7783100353676402</v>
      </c>
    </row>
    <row r="64" spans="1:5" x14ac:dyDescent="0.25">
      <c r="A64" s="54" t="s">
        <v>93</v>
      </c>
      <c r="B64" s="59">
        <v>2</v>
      </c>
    </row>
    <row r="65" spans="1:8" ht="15.75" thickBot="1" x14ac:dyDescent="0.3">
      <c r="A65" s="54" t="s">
        <v>100</v>
      </c>
      <c r="B65" s="61">
        <f>(B61-D49)^2</f>
        <v>6.8362555271319167E-10</v>
      </c>
    </row>
    <row r="66" spans="1:8" ht="15.75" thickBot="1" x14ac:dyDescent="0.3">
      <c r="G66" s="1"/>
      <c r="H66" s="6"/>
    </row>
    <row r="73" spans="1:8" x14ac:dyDescent="0.25">
      <c r="D73" s="1"/>
      <c r="E73" s="1"/>
      <c r="F73" s="1"/>
      <c r="H73" s="1"/>
    </row>
    <row r="74" spans="1:8" x14ac:dyDescent="0.25">
      <c r="B74" s="3"/>
      <c r="C74" s="3"/>
      <c r="D74" s="7"/>
      <c r="E74" s="3"/>
      <c r="F74" s="8"/>
      <c r="H74" s="1"/>
    </row>
    <row r="75" spans="1:8" x14ac:dyDescent="0.25">
      <c r="B75" s="3"/>
      <c r="C75" s="3"/>
      <c r="D75" s="7"/>
      <c r="E75" s="3"/>
      <c r="F75" s="8"/>
    </row>
    <row r="76" spans="1:8" x14ac:dyDescent="0.25">
      <c r="B76" s="3"/>
      <c r="C76" s="3"/>
      <c r="D76" s="7"/>
      <c r="E76" s="3"/>
      <c r="F76" s="8"/>
    </row>
    <row r="77" spans="1:8" x14ac:dyDescent="0.25">
      <c r="B77" s="3"/>
      <c r="C77" s="3"/>
      <c r="D77" s="7"/>
      <c r="E77" s="3"/>
      <c r="F77" s="8"/>
    </row>
    <row r="78" spans="1:8" x14ac:dyDescent="0.25">
      <c r="B78" s="3"/>
      <c r="C78" s="3"/>
      <c r="D78" s="7"/>
      <c r="E78" s="3"/>
      <c r="F78" s="8"/>
    </row>
    <row r="79" spans="1:8" x14ac:dyDescent="0.25">
      <c r="B79" s="3"/>
      <c r="C79" s="3"/>
      <c r="D79" s="7"/>
      <c r="E79" s="3"/>
      <c r="F79" s="8"/>
    </row>
    <row r="80" spans="1:8" x14ac:dyDescent="0.25">
      <c r="B80" s="3"/>
      <c r="C80" s="3"/>
      <c r="D80" s="7"/>
      <c r="E80" s="3"/>
      <c r="F80" s="8"/>
    </row>
    <row r="81" spans="2:6" x14ac:dyDescent="0.25">
      <c r="B81" s="3"/>
      <c r="C81" s="3"/>
      <c r="D81" s="7"/>
      <c r="E81" s="3"/>
      <c r="F81" s="8"/>
    </row>
    <row r="82" spans="2:6" x14ac:dyDescent="0.25">
      <c r="B82" s="3"/>
      <c r="C82" s="3"/>
      <c r="D82" s="7"/>
      <c r="E82" s="3"/>
      <c r="F82" s="8"/>
    </row>
    <row r="83" spans="2:6" x14ac:dyDescent="0.25">
      <c r="B83" s="3"/>
      <c r="C83" s="3"/>
      <c r="D83" s="7"/>
      <c r="E83" s="3"/>
      <c r="F83" s="8"/>
    </row>
    <row r="84" spans="2:6" x14ac:dyDescent="0.25">
      <c r="B84" s="3"/>
      <c r="C84" s="3"/>
      <c r="D84" s="7"/>
      <c r="E84" s="3"/>
      <c r="F84" s="8"/>
    </row>
    <row r="85" spans="2:6" x14ac:dyDescent="0.25">
      <c r="B85" s="3"/>
      <c r="C85" s="3"/>
      <c r="D85" s="7"/>
      <c r="E85" s="3"/>
      <c r="F85" s="8"/>
    </row>
    <row r="86" spans="2:6" x14ac:dyDescent="0.25">
      <c r="B86" s="3"/>
      <c r="C86" s="3"/>
      <c r="D86" s="7"/>
      <c r="E86" s="3"/>
      <c r="F86" s="8"/>
    </row>
    <row r="87" spans="2:6" x14ac:dyDescent="0.25">
      <c r="B87" s="3"/>
      <c r="C87" s="3"/>
      <c r="D87" s="7"/>
      <c r="E87" s="3"/>
      <c r="F87" s="8"/>
    </row>
    <row r="88" spans="2:6" x14ac:dyDescent="0.25">
      <c r="B88" s="3"/>
      <c r="C88" s="3"/>
      <c r="D88" s="7"/>
      <c r="E88" s="3"/>
      <c r="F88" s="8"/>
    </row>
    <row r="89" spans="2:6" x14ac:dyDescent="0.25">
      <c r="B89" s="3"/>
      <c r="C89" s="3"/>
      <c r="D89" s="7"/>
      <c r="E89" s="3"/>
      <c r="F89" s="8"/>
    </row>
    <row r="91" spans="2:6" x14ac:dyDescent="0.25">
      <c r="E91" s="1"/>
      <c r="F91" s="2"/>
    </row>
    <row r="92" spans="2:6" x14ac:dyDescent="0.25">
      <c r="E92" s="1"/>
      <c r="F92" s="9"/>
    </row>
  </sheetData>
  <mergeCells count="2">
    <mergeCell ref="B40:E40"/>
    <mergeCell ref="B44:E44"/>
  </mergeCells>
  <hyperlinks>
    <hyperlink ref="F1" location="Contents!A1" display="Back to the Contents of this spreadsheet"/>
  </hyperlink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C00000"/>
  </sheetPr>
  <dimension ref="A1:AB65"/>
  <sheetViews>
    <sheetView topLeftCell="A4" zoomScale="95" zoomScaleNormal="95" workbookViewId="0">
      <selection activeCell="G1" sqref="G1"/>
    </sheetView>
  </sheetViews>
  <sheetFormatPr defaultRowHeight="15" x14ac:dyDescent="0.25"/>
  <cols>
    <col min="1" max="1" width="34.85546875" bestFit="1" customWidth="1"/>
    <col min="2" max="2" width="23.7109375" customWidth="1"/>
    <col min="3" max="3" width="24.42578125" customWidth="1"/>
    <col min="4" max="4" width="23.42578125" customWidth="1"/>
    <col min="5" max="5" width="29.28515625" bestFit="1" customWidth="1"/>
    <col min="6" max="6" width="21.7109375" bestFit="1" customWidth="1"/>
    <col min="7" max="7" width="22.140625" customWidth="1"/>
    <col min="8" max="8" width="25.28515625" customWidth="1"/>
    <col min="11" max="11" width="29.7109375" customWidth="1"/>
    <col min="12" max="12" width="19.140625" bestFit="1" customWidth="1"/>
    <col min="13" max="13" width="16.5703125" bestFit="1" customWidth="1"/>
    <col min="14" max="14" width="15.42578125" customWidth="1"/>
    <col min="15" max="15" width="23.28515625" customWidth="1"/>
    <col min="16" max="16" width="12.5703125" customWidth="1"/>
    <col min="17" max="17" width="32.42578125" customWidth="1"/>
    <col min="18" max="18" width="18.7109375" customWidth="1"/>
    <col min="21" max="21" width="18.7109375" customWidth="1"/>
    <col min="22" max="22" width="18.5703125" bestFit="1" customWidth="1"/>
    <col min="23" max="23" width="20.85546875" customWidth="1"/>
    <col min="24" max="24" width="22.42578125" customWidth="1"/>
    <col min="25" max="25" width="15.140625" bestFit="1" customWidth="1"/>
    <col min="26" max="26" width="15.140625" customWidth="1"/>
    <col min="27" max="27" width="22.85546875" customWidth="1"/>
    <col min="28" max="28" width="21" customWidth="1"/>
  </cols>
  <sheetData>
    <row r="1" spans="1:28" ht="24" customHeight="1" x14ac:dyDescent="0.35">
      <c r="A1" s="10" t="s">
        <v>8</v>
      </c>
      <c r="B1" s="10" t="s">
        <v>116</v>
      </c>
      <c r="G1" s="223" t="s">
        <v>389</v>
      </c>
      <c r="K1" s="10" t="s">
        <v>7</v>
      </c>
      <c r="U1" s="10" t="s">
        <v>15</v>
      </c>
    </row>
    <row r="2" spans="1:28" ht="16.149999999999999" customHeight="1" x14ac:dyDescent="0.25"/>
    <row r="3" spans="1:28" ht="16.149999999999999" customHeight="1" thickBot="1" x14ac:dyDescent="0.3">
      <c r="A3" s="1"/>
      <c r="K3" s="1"/>
      <c r="L3" s="13"/>
      <c r="U3" s="1"/>
    </row>
    <row r="4" spans="1:28" ht="16.149999999999999" customHeight="1" thickBot="1" x14ac:dyDescent="0.3">
      <c r="A4" s="1" t="s">
        <v>16</v>
      </c>
      <c r="B4" s="6">
        <v>5</v>
      </c>
      <c r="K4" s="1"/>
      <c r="U4" s="1"/>
    </row>
    <row r="5" spans="1:28" ht="16.149999999999999" customHeight="1" x14ac:dyDescent="0.25"/>
    <row r="6" spans="1:28" x14ac:dyDescent="0.25">
      <c r="A6" s="1" t="s">
        <v>0</v>
      </c>
      <c r="B6" s="1" t="s">
        <v>4</v>
      </c>
      <c r="C6" s="1" t="s">
        <v>9</v>
      </c>
      <c r="D6" s="1" t="s">
        <v>10</v>
      </c>
      <c r="E6" s="1" t="s">
        <v>11</v>
      </c>
      <c r="F6" s="1" t="s">
        <v>3</v>
      </c>
      <c r="G6" s="1" t="s">
        <v>6</v>
      </c>
      <c r="H6" s="1" t="s">
        <v>5</v>
      </c>
      <c r="K6" s="1" t="s">
        <v>0</v>
      </c>
      <c r="L6" s="1" t="s">
        <v>4</v>
      </c>
      <c r="M6" s="1" t="s">
        <v>9</v>
      </c>
      <c r="N6" s="1" t="s">
        <v>10</v>
      </c>
      <c r="O6" s="1" t="s">
        <v>11</v>
      </c>
      <c r="P6" s="1" t="s">
        <v>3</v>
      </c>
      <c r="Q6" s="1" t="s">
        <v>6</v>
      </c>
      <c r="R6" s="1" t="s">
        <v>5</v>
      </c>
      <c r="U6" s="1" t="s">
        <v>0</v>
      </c>
      <c r="V6" s="1" t="s">
        <v>4</v>
      </c>
      <c r="W6" s="1" t="s">
        <v>9</v>
      </c>
      <c r="X6" s="1" t="s">
        <v>10</v>
      </c>
      <c r="Y6" s="1" t="s">
        <v>11</v>
      </c>
      <c r="Z6" s="1" t="s">
        <v>3</v>
      </c>
      <c r="AA6" s="1" t="s">
        <v>6</v>
      </c>
      <c r="AB6" s="1" t="s">
        <v>5</v>
      </c>
    </row>
    <row r="7" spans="1:28" x14ac:dyDescent="0.25">
      <c r="A7">
        <v>0</v>
      </c>
      <c r="B7" s="3">
        <f t="shared" ref="B7:B22" si="0">IF(A7&lt;$B$4,1/$B$4*-smart_meter_costs_low*Meters_NonVic,0)+IF(AND(A7&gt;6,A7&lt;$B$4+7),1/$B$4*-IT_update_low*Meters_NonVic)</f>
        <v>-334800000</v>
      </c>
      <c r="C7" s="3">
        <f>0.1*'(2) NEM phase in'!C7</f>
        <v>61908.743151653958</v>
      </c>
      <c r="D7" s="2">
        <f>'(2) NEM phase in'!D7</f>
        <v>-24800000</v>
      </c>
      <c r="E7">
        <f>'(2) NEM phase in'!E7</f>
        <v>0</v>
      </c>
      <c r="F7" s="7">
        <f t="shared" ref="F7:F25" si="1">1/((1+discount_rate/100)^($A7+0.5))</f>
        <v>0.96225044864937614</v>
      </c>
      <c r="G7" s="3">
        <f>F7*(B7+D7)</f>
        <v>-346025261.33431566</v>
      </c>
      <c r="H7" s="12">
        <f>F7*(C7+E7)</f>
        <v>59571.715872998015</v>
      </c>
      <c r="K7">
        <v>0</v>
      </c>
      <c r="L7" s="3">
        <f t="shared" ref="L7:L22" si="2">IF(K7&lt;$B$4,1/$B$4*-smart_meter_costs_high*Meters_NonVic,0)+IF(AND(K7&gt;6,K7&lt;$B$4+7),1/$B$4*-IT_update_high*Meters_NonVic)</f>
        <v>-992000000</v>
      </c>
      <c r="M7" s="3">
        <f>0.1*'(2) NEM phase in'!M7</f>
        <v>18904.242710510774</v>
      </c>
      <c r="N7" s="2">
        <f>'(2) NEM phase in'!N7</f>
        <v>-37200000</v>
      </c>
      <c r="O7" s="2">
        <f>'(2) NEM phase in'!O7</f>
        <v>0</v>
      </c>
      <c r="P7" s="7">
        <f t="shared" ref="P7:P25" si="3">1/((1+discount_rate/100)^($A7+0.5))</f>
        <v>0.96225044864937614</v>
      </c>
      <c r="Q7" s="3">
        <f>P7*(L7+N7)</f>
        <v>-990348161.74993789</v>
      </c>
      <c r="R7" s="12">
        <f>P7*(M7+O7)</f>
        <v>18190.616029565692</v>
      </c>
      <c r="U7">
        <v>0</v>
      </c>
      <c r="V7" s="3">
        <f t="shared" ref="V7:V22" si="4">IF(U7&lt;$B$4,1/$B$4*-smart_meter_costs_medium*Meters_NonVic,0)+IF(AND(U7&gt;6,U7&lt;$B$4+7),1/$B$4*-IT_update_medium*Meters_NonVic)</f>
        <v>-663400000</v>
      </c>
      <c r="W7" s="3">
        <f>0.1*'(2) NEM phase in'!W7</f>
        <v>37086.580225740945</v>
      </c>
      <c r="X7" s="2">
        <f>'(2) NEM phase in'!X7</f>
        <v>-31000000</v>
      </c>
      <c r="Y7" s="2">
        <f>'(2) NEM phase in'!Y7</f>
        <v>0</v>
      </c>
      <c r="Z7" s="7">
        <f t="shared" ref="Z7:Z25" si="5">1/((1+discount_rate/100)^($A7+0.5))</f>
        <v>0.96225044864937614</v>
      </c>
      <c r="AA7" s="3">
        <f>Z7*(V7+X7)</f>
        <v>-668186711.54212677</v>
      </c>
      <c r="AB7" s="12">
        <f>Z7*(W7+Y7)</f>
        <v>35686.578461090307</v>
      </c>
    </row>
    <row r="8" spans="1:28" x14ac:dyDescent="0.25">
      <c r="A8">
        <v>1</v>
      </c>
      <c r="B8" s="3">
        <f t="shared" si="0"/>
        <v>-334800000</v>
      </c>
      <c r="C8" s="80">
        <f>0.1*'(2) NEM phase in'!C8</f>
        <v>581316.20837189513</v>
      </c>
      <c r="D8" s="79">
        <f>'(2) NEM phase in'!D8</f>
        <v>-49600000</v>
      </c>
      <c r="E8">
        <f>'(2) NEM phase in'!E8</f>
        <v>0</v>
      </c>
      <c r="F8" s="7">
        <f t="shared" si="1"/>
        <v>0.89097263763831136</v>
      </c>
      <c r="G8" s="3">
        <f t="shared" ref="G8:G25" si="6">F8*(B8+D8)</f>
        <v>-342489881.90816689</v>
      </c>
      <c r="H8" s="12">
        <f t="shared" ref="H8:H26" si="7">F8*(C8+E8)</f>
        <v>517936.83547500963</v>
      </c>
      <c r="K8">
        <v>1</v>
      </c>
      <c r="L8" s="3">
        <f t="shared" si="2"/>
        <v>-992000000</v>
      </c>
      <c r="M8" s="80">
        <f>0.1*'(2) NEM phase in'!M8</f>
        <v>177508.73519910203</v>
      </c>
      <c r="N8" s="2">
        <f>'(2) NEM phase in'!N8</f>
        <v>-74400000</v>
      </c>
      <c r="O8" s="2">
        <f>'(2) NEM phase in'!O8</f>
        <v>0</v>
      </c>
      <c r="P8" s="7">
        <f t="shared" si="3"/>
        <v>0.89097263763831136</v>
      </c>
      <c r="Q8" s="3">
        <f>P8*(L8+N8)</f>
        <v>-950133220.77749527</v>
      </c>
      <c r="R8" s="12">
        <f t="shared" ref="R8:R22" si="8">P8*(M8+O8)</f>
        <v>158155.4260041845</v>
      </c>
      <c r="U8">
        <v>1</v>
      </c>
      <c r="V8" s="3">
        <f t="shared" si="4"/>
        <v>-663400000</v>
      </c>
      <c r="W8" s="80">
        <f>0.1*'(2) NEM phase in'!W8</f>
        <v>348238.86095532624</v>
      </c>
      <c r="X8" s="2">
        <f>'(2) NEM phase in'!X8</f>
        <v>-62000000</v>
      </c>
      <c r="Y8" s="2">
        <f>'(2) NEM phase in'!Y8</f>
        <v>0</v>
      </c>
      <c r="Z8" s="7">
        <f t="shared" si="5"/>
        <v>0.89097263763831136</v>
      </c>
      <c r="AA8" s="3">
        <f t="shared" ref="AA8:AA22" si="9">Z8*(V8+X8)</f>
        <v>-646311551.34283102</v>
      </c>
      <c r="AB8" s="12">
        <f t="shared" ref="AB8:AB22" si="10">Z8*(W8+Y8)</f>
        <v>310271.2964735282</v>
      </c>
    </row>
    <row r="9" spans="1:28" x14ac:dyDescent="0.25">
      <c r="A9">
        <v>2</v>
      </c>
      <c r="B9" s="3">
        <f t="shared" si="0"/>
        <v>-334800000</v>
      </c>
      <c r="C9" s="80">
        <f>0.1*'(2) NEM phase in'!C9</f>
        <v>1991563.8985272688</v>
      </c>
      <c r="D9" s="79">
        <f>'(2) NEM phase in'!D9</f>
        <v>-74400000</v>
      </c>
      <c r="F9" s="7">
        <f t="shared" si="1"/>
        <v>0.82497466447991774</v>
      </c>
      <c r="G9" s="3">
        <f t="shared" si="6"/>
        <v>-337579632.70518231</v>
      </c>
      <c r="H9" s="12">
        <f t="shared" si="7"/>
        <v>1642989.7589778504</v>
      </c>
      <c r="K9">
        <v>2</v>
      </c>
      <c r="L9" s="3">
        <f t="shared" si="2"/>
        <v>-992000000</v>
      </c>
      <c r="M9" s="80">
        <f>0.1*'(2) NEM phase in'!M9</f>
        <v>608137.16116032505</v>
      </c>
      <c r="N9" s="2">
        <f>'(2) NEM phase in'!N9</f>
        <v>-111600000</v>
      </c>
      <c r="O9" s="2">
        <f>'(2) NEM phase in'!O9</f>
        <v>62000000</v>
      </c>
      <c r="P9" s="7">
        <f t="shared" si="3"/>
        <v>0.82497466447991774</v>
      </c>
      <c r="Q9" s="3">
        <f t="shared" ref="Q9:Q22" si="11">P9*(L9+N9)</f>
        <v>-910442039.72003722</v>
      </c>
      <c r="R9" s="12">
        <f>P9*(M9+O9)</f>
        <v>51650126.948240913</v>
      </c>
      <c r="U9">
        <v>2</v>
      </c>
      <c r="V9" s="3">
        <f t="shared" si="4"/>
        <v>-663400000</v>
      </c>
      <c r="W9" s="80">
        <f>0.1*'(2) NEM phase in'!W9</f>
        <v>1193051.1029191797</v>
      </c>
      <c r="X9" s="2">
        <f>'(2) NEM phase in'!X9</f>
        <v>-93000000</v>
      </c>
      <c r="Y9" s="2">
        <f>'(2) NEM phase in'!Y9</f>
        <v>71300000</v>
      </c>
      <c r="Z9" s="7">
        <f t="shared" si="5"/>
        <v>0.82497466447991774</v>
      </c>
      <c r="AA9" s="3">
        <f t="shared" si="9"/>
        <v>-624010836.21260977</v>
      </c>
      <c r="AB9" s="12">
        <f t="shared" si="10"/>
        <v>59804930.510756277</v>
      </c>
    </row>
    <row r="10" spans="1:28" ht="15" customHeight="1" x14ac:dyDescent="0.25">
      <c r="A10">
        <v>3</v>
      </c>
      <c r="B10" s="3">
        <f t="shared" si="0"/>
        <v>-334800000</v>
      </c>
      <c r="C10" s="80">
        <f>0.1*'(2) NEM phase in'!C10</f>
        <v>4920742.4998819819</v>
      </c>
      <c r="D10" s="79">
        <f>'(2) NEM phase in'!D10</f>
        <v>-99200000</v>
      </c>
      <c r="E10" s="80">
        <f>'(2) NEM phase in'!E10</f>
        <v>161200000</v>
      </c>
      <c r="F10" s="7">
        <f t="shared" si="1"/>
        <v>0.76386543007399788</v>
      </c>
      <c r="G10" s="3">
        <f t="shared" si="6"/>
        <v>-331517596.65211511</v>
      </c>
      <c r="H10" s="81">
        <f>F10*(C10+E10)</f>
        <v>126893892.41388421</v>
      </c>
      <c r="K10">
        <v>3</v>
      </c>
      <c r="L10" s="3">
        <f t="shared" si="2"/>
        <v>-992000000</v>
      </c>
      <c r="M10" s="80">
        <f>0.1*'(2) NEM phase in'!M10</f>
        <v>1502581.1508694687</v>
      </c>
      <c r="N10" s="2">
        <f>'(2) NEM phase in'!N10</f>
        <v>-148800000</v>
      </c>
      <c r="O10" s="2">
        <f>'(2) NEM phase in'!O10</f>
        <v>124000000</v>
      </c>
      <c r="P10" s="7">
        <f t="shared" si="3"/>
        <v>0.76386543007399788</v>
      </c>
      <c r="Q10" s="3">
        <f t="shared" si="11"/>
        <v>-871417682.62841678</v>
      </c>
      <c r="R10" s="12">
        <f t="shared" si="8"/>
        <v>95867083.126205727</v>
      </c>
      <c r="U10">
        <v>3</v>
      </c>
      <c r="V10" s="3">
        <f t="shared" si="4"/>
        <v>-663400000</v>
      </c>
      <c r="W10" s="80">
        <f>0.1*'(2) NEM phase in'!W10</f>
        <v>2947782.5296023744</v>
      </c>
      <c r="X10" s="2">
        <f>'(2) NEM phase in'!X10</f>
        <v>-124000000</v>
      </c>
      <c r="Y10" s="2">
        <f>'(2) NEM phase in'!Y10</f>
        <v>142600000</v>
      </c>
      <c r="Z10" s="7">
        <f t="shared" si="5"/>
        <v>0.76386543007399788</v>
      </c>
      <c r="AA10" s="3">
        <f t="shared" si="9"/>
        <v>-601467639.64026594</v>
      </c>
      <c r="AB10" s="12">
        <f t="shared" si="10"/>
        <v>111178919.49829143</v>
      </c>
    </row>
    <row r="11" spans="1:28" x14ac:dyDescent="0.25">
      <c r="A11">
        <v>4</v>
      </c>
      <c r="B11" s="3">
        <f t="shared" si="0"/>
        <v>-334800000</v>
      </c>
      <c r="C11" s="80">
        <f>0.1*'(2) NEM phase in'!C11</f>
        <v>10124123.842010455</v>
      </c>
      <c r="D11" s="79">
        <f>'(2) NEM phase in'!D11</f>
        <v>-124000000</v>
      </c>
      <c r="E11" s="80">
        <f>'(2) NEM phase in'!E11</f>
        <v>241800000</v>
      </c>
      <c r="F11" s="7">
        <f t="shared" si="1"/>
        <v>0.70728280562407209</v>
      </c>
      <c r="G11" s="3">
        <f t="shared" si="6"/>
        <v>-324501351.22032428</v>
      </c>
      <c r="H11" s="12">
        <f t="shared" si="7"/>
        <v>178181601.11536336</v>
      </c>
      <c r="K11">
        <v>4</v>
      </c>
      <c r="L11" s="3">
        <f t="shared" si="2"/>
        <v>-992000000</v>
      </c>
      <c r="M11" s="80">
        <f>0.1*'(2) NEM phase in'!M11</f>
        <v>3091467.9348569736</v>
      </c>
      <c r="N11" s="2">
        <f>'(2) NEM phase in'!N11</f>
        <v>-186000000</v>
      </c>
      <c r="O11" s="2">
        <f>'(2) NEM phase in'!O11</f>
        <v>186000000</v>
      </c>
      <c r="P11" s="7">
        <f t="shared" si="3"/>
        <v>0.70728280562407209</v>
      </c>
      <c r="Q11" s="3">
        <f t="shared" si="11"/>
        <v>-833179145.02515697</v>
      </c>
      <c r="R11" s="12">
        <f t="shared" si="8"/>
        <v>133741143.96053991</v>
      </c>
      <c r="U11">
        <v>4</v>
      </c>
      <c r="V11" s="3">
        <f t="shared" si="4"/>
        <v>-663400000</v>
      </c>
      <c r="W11" s="80">
        <f>0.1*'(2) NEM phase in'!W11</f>
        <v>6064880.5316931428</v>
      </c>
      <c r="X11" s="2">
        <f>'(2) NEM phase in'!X11</f>
        <v>-155000000</v>
      </c>
      <c r="Y11" s="2">
        <f>'(2) NEM phase in'!Y11</f>
        <v>213900000</v>
      </c>
      <c r="Z11" s="7">
        <f t="shared" si="5"/>
        <v>0.70728280562407209</v>
      </c>
      <c r="AA11" s="3">
        <f t="shared" si="9"/>
        <v>-578840248.12274063</v>
      </c>
      <c r="AB11" s="12">
        <f t="shared" si="10"/>
        <v>155577377.84121975</v>
      </c>
    </row>
    <row r="12" spans="1:28" x14ac:dyDescent="0.25">
      <c r="A12">
        <v>5</v>
      </c>
      <c r="B12" s="3">
        <f t="shared" si="0"/>
        <v>0</v>
      </c>
      <c r="C12" s="80">
        <f>0.1*'(2) NEM phase in'!C12</f>
        <v>18279541.847591829</v>
      </c>
      <c r="D12" s="79">
        <f>'(2) NEM phase in'!D12</f>
        <v>-124000000</v>
      </c>
      <c r="E12" s="80">
        <f>'(2) NEM phase in'!E12</f>
        <v>322400000</v>
      </c>
      <c r="F12" s="7">
        <f t="shared" si="1"/>
        <v>0.65489148668895558</v>
      </c>
      <c r="G12" s="3">
        <f t="shared" si="6"/>
        <v>-81206544.349430487</v>
      </c>
      <c r="H12" s="12">
        <f t="shared" si="7"/>
        <v>223108131.64508167</v>
      </c>
      <c r="K12">
        <v>5</v>
      </c>
      <c r="L12" s="3">
        <f t="shared" si="2"/>
        <v>0</v>
      </c>
      <c r="M12" s="80">
        <f>0.1*'(2) NEM phase in'!M12</f>
        <v>5581778.5684538251</v>
      </c>
      <c r="N12" s="2">
        <f>'(2) NEM phase in'!N12</f>
        <v>-186000000</v>
      </c>
      <c r="O12" s="2">
        <f>'(2) NEM phase in'!O12</f>
        <v>248000000</v>
      </c>
      <c r="P12" s="7">
        <f t="shared" si="3"/>
        <v>0.65489148668895558</v>
      </c>
      <c r="Q12" s="3">
        <f t="shared" si="11"/>
        <v>-121809816.52414574</v>
      </c>
      <c r="R12" s="12">
        <f t="shared" si="8"/>
        <v>166068547.96392426</v>
      </c>
      <c r="U12">
        <v>5</v>
      </c>
      <c r="V12" s="3">
        <f t="shared" si="4"/>
        <v>0</v>
      </c>
      <c r="W12" s="80">
        <f>0.1*'(2) NEM phase in'!W12</f>
        <v>10950403.137079222</v>
      </c>
      <c r="X12" s="2">
        <f>'(2) NEM phase in'!X12</f>
        <v>-155000000</v>
      </c>
      <c r="Y12" s="2">
        <f>'(2) NEM phase in'!Y12</f>
        <v>285200000</v>
      </c>
      <c r="Z12" s="7">
        <f t="shared" si="5"/>
        <v>0.65489148668895558</v>
      </c>
      <c r="AA12" s="3">
        <f t="shared" si="9"/>
        <v>-101508180.43678811</v>
      </c>
      <c r="AB12" s="12">
        <f t="shared" si="10"/>
        <v>193946377.79397535</v>
      </c>
    </row>
    <row r="13" spans="1:28" x14ac:dyDescent="0.25">
      <c r="A13">
        <v>6</v>
      </c>
      <c r="B13" s="3">
        <f t="shared" si="0"/>
        <v>0</v>
      </c>
      <c r="C13" s="80">
        <f>0.1*'(2) NEM phase in'!C13</f>
        <v>29555401.527545579</v>
      </c>
      <c r="D13" s="79">
        <f>'(2) NEM phase in'!D13</f>
        <v>-124000000</v>
      </c>
      <c r="E13" s="80">
        <f>'(2) NEM phase in'!E13</f>
        <v>403000000</v>
      </c>
      <c r="F13" s="7">
        <f t="shared" si="1"/>
        <v>0.60638100619347735</v>
      </c>
      <c r="G13" s="3">
        <f t="shared" si="6"/>
        <v>-75191244.767991185</v>
      </c>
      <c r="H13" s="12">
        <f t="shared" si="7"/>
        <v>262293379.61269668</v>
      </c>
      <c r="K13">
        <v>6</v>
      </c>
      <c r="L13" s="3">
        <f t="shared" si="2"/>
        <v>0</v>
      </c>
      <c r="M13" s="80">
        <f>0.1*'(2) NEM phase in'!M13</f>
        <v>9024936.6315619629</v>
      </c>
      <c r="N13" s="2">
        <f>'(2) NEM phase in'!N13</f>
        <v>-186000000</v>
      </c>
      <c r="O13" s="2">
        <f>'(2) NEM phase in'!O13</f>
        <v>310000000</v>
      </c>
      <c r="P13" s="7">
        <f t="shared" si="3"/>
        <v>0.60638100619347735</v>
      </c>
      <c r="Q13" s="3">
        <f t="shared" si="11"/>
        <v>-112786867.15198679</v>
      </c>
      <c r="R13" s="12">
        <f t="shared" si="8"/>
        <v>193450662.07545689</v>
      </c>
      <c r="U13">
        <v>6</v>
      </c>
      <c r="V13" s="3">
        <f t="shared" si="4"/>
        <v>0</v>
      </c>
      <c r="W13" s="80">
        <f>0.1*'(2) NEM phase in'!W13</f>
        <v>17705233.769166283</v>
      </c>
      <c r="X13" s="2">
        <f>'(2) NEM phase in'!X13</f>
        <v>-155000000</v>
      </c>
      <c r="Y13" s="2">
        <f>'(2) NEM phase in'!Y13</f>
        <v>356500000</v>
      </c>
      <c r="Z13" s="7">
        <f t="shared" si="5"/>
        <v>0.60638100619347735</v>
      </c>
      <c r="AA13" s="3">
        <f t="shared" si="9"/>
        <v>-93989055.959988981</v>
      </c>
      <c r="AB13" s="12">
        <f t="shared" si="10"/>
        <v>226910946.17581245</v>
      </c>
    </row>
    <row r="14" spans="1:28" x14ac:dyDescent="0.25">
      <c r="A14">
        <v>7</v>
      </c>
      <c r="B14" s="3">
        <f t="shared" si="0"/>
        <v>-124000000</v>
      </c>
      <c r="C14" s="80">
        <f>0.1*'(2) NEM phase in'!C14</f>
        <v>43799809.416187137</v>
      </c>
      <c r="D14" s="79">
        <f>'(2) NEM phase in'!D14</f>
        <v>-124000000</v>
      </c>
      <c r="E14" s="80">
        <f>'(2) NEM phase in'!E14</f>
        <v>403000000</v>
      </c>
      <c r="F14" s="7">
        <f t="shared" si="1"/>
        <v>0.56146389462359003</v>
      </c>
      <c r="G14" s="3">
        <f t="shared" si="6"/>
        <v>-139243045.86665031</v>
      </c>
      <c r="H14" s="12">
        <f t="shared" si="7"/>
        <v>250861961.11189023</v>
      </c>
      <c r="K14">
        <v>7</v>
      </c>
      <c r="L14" s="3">
        <f t="shared" si="2"/>
        <v>-186000000</v>
      </c>
      <c r="M14" s="80">
        <f>0.1*'(2) NEM phase in'!M14</f>
        <v>13374560.453430818</v>
      </c>
      <c r="N14" s="2">
        <f>'(2) NEM phase in'!N14</f>
        <v>-186000000</v>
      </c>
      <c r="O14" s="2">
        <f>'(2) NEM phase in'!O14</f>
        <v>310000000</v>
      </c>
      <c r="P14" s="7">
        <f t="shared" si="3"/>
        <v>0.56146389462359003</v>
      </c>
      <c r="Q14" s="3">
        <f t="shared" si="11"/>
        <v>-208864568.79997548</v>
      </c>
      <c r="R14" s="12">
        <f t="shared" si="8"/>
        <v>181563140.13437483</v>
      </c>
      <c r="U14">
        <v>7</v>
      </c>
      <c r="V14" s="3">
        <f t="shared" si="4"/>
        <v>-155000000</v>
      </c>
      <c r="W14" s="80">
        <f>0.1*'(2) NEM phase in'!W14</f>
        <v>26238380.285098568</v>
      </c>
      <c r="X14" s="2">
        <f>'(2) NEM phase in'!X14</f>
        <v>-155000000</v>
      </c>
      <c r="Y14" s="2">
        <f>'(2) NEM phase in'!Y14</f>
        <v>356500000</v>
      </c>
      <c r="Z14" s="7">
        <f t="shared" si="5"/>
        <v>0.56146389462359003</v>
      </c>
      <c r="AA14" s="3">
        <f t="shared" si="9"/>
        <v>-174053807.3333129</v>
      </c>
      <c r="AB14" s="12">
        <f t="shared" si="10"/>
        <v>214893781.61679611</v>
      </c>
    </row>
    <row r="15" spans="1:28" x14ac:dyDescent="0.25">
      <c r="A15">
        <v>8</v>
      </c>
      <c r="B15" s="3">
        <f t="shared" si="0"/>
        <v>-124000000</v>
      </c>
      <c r="C15" s="80">
        <f>0.1*'(2) NEM phase in'!C15</f>
        <v>60365145.246144868</v>
      </c>
      <c r="D15" s="79">
        <f>'(2) NEM phase in'!D15</f>
        <v>-124000000</v>
      </c>
      <c r="E15" s="80">
        <f>'(2) NEM phase in'!E15</f>
        <v>403000000</v>
      </c>
      <c r="F15" s="7">
        <f t="shared" si="1"/>
        <v>0.51987397650332412</v>
      </c>
      <c r="G15" s="3">
        <f t="shared" si="6"/>
        <v>-128928746.17282438</v>
      </c>
      <c r="H15" s="12">
        <f t="shared" si="7"/>
        <v>240891480.63215369</v>
      </c>
      <c r="K15">
        <v>8</v>
      </c>
      <c r="L15" s="3">
        <f t="shared" si="2"/>
        <v>-186000000</v>
      </c>
      <c r="M15" s="80">
        <f>0.1*'(2) NEM phase in'!M15</f>
        <v>18432894.917490687</v>
      </c>
      <c r="N15" s="2">
        <f>'(2) NEM phase in'!N15</f>
        <v>-186000000</v>
      </c>
      <c r="O15" s="2">
        <f>'(2) NEM phase in'!O15</f>
        <v>310000000</v>
      </c>
      <c r="P15" s="7">
        <f t="shared" si="3"/>
        <v>0.51987397650332412</v>
      </c>
      <c r="Q15" s="3">
        <f t="shared" si="11"/>
        <v>-193393119.25923657</v>
      </c>
      <c r="R15" s="12">
        <f t="shared" si="8"/>
        <v>170743715.09525427</v>
      </c>
      <c r="U15">
        <v>8</v>
      </c>
      <c r="V15" s="3">
        <f t="shared" si="4"/>
        <v>-155000000</v>
      </c>
      <c r="W15" s="80">
        <f>0.1*'(2) NEM phase in'!W15</f>
        <v>36161884.219254188</v>
      </c>
      <c r="X15" s="2">
        <f>'(2) NEM phase in'!X15</f>
        <v>-155000000</v>
      </c>
      <c r="Y15" s="2">
        <f>'(2) NEM phase in'!Y15</f>
        <v>356500000</v>
      </c>
      <c r="Z15" s="7">
        <f t="shared" si="5"/>
        <v>0.51987397650332412</v>
      </c>
      <c r="AA15" s="3">
        <f t="shared" si="9"/>
        <v>-161160932.71603048</v>
      </c>
      <c r="AB15" s="12">
        <f t="shared" si="10"/>
        <v>204134695.17035154</v>
      </c>
    </row>
    <row r="16" spans="1:28" x14ac:dyDescent="0.25">
      <c r="A16">
        <v>9</v>
      </c>
      <c r="B16" s="3">
        <f t="shared" si="0"/>
        <v>-124000000</v>
      </c>
      <c r="C16" s="80">
        <f>0.1*'(2) NEM phase in'!C16</f>
        <v>78231598.4440929</v>
      </c>
      <c r="D16" s="79">
        <f>'(2) NEM phase in'!D16</f>
        <v>-124000000</v>
      </c>
      <c r="E16" s="80">
        <f>'(2) NEM phase in'!E16</f>
        <v>403000000</v>
      </c>
      <c r="F16" s="7">
        <f t="shared" si="1"/>
        <v>0.48136479305863344</v>
      </c>
      <c r="G16" s="3">
        <f t="shared" si="6"/>
        <v>-119378468.67854109</v>
      </c>
      <c r="H16" s="12">
        <f t="shared" si="7"/>
        <v>231647948.79831615</v>
      </c>
      <c r="K16">
        <v>9</v>
      </c>
      <c r="L16" s="3">
        <f t="shared" si="2"/>
        <v>-186000000</v>
      </c>
      <c r="M16" s="80">
        <f>0.1*'(2) NEM phase in'!M16</f>
        <v>23888534.144451275</v>
      </c>
      <c r="N16" s="2">
        <f>'(2) NEM phase in'!N16</f>
        <v>-186000000</v>
      </c>
      <c r="O16" s="2">
        <f>'(2) NEM phase in'!O16</f>
        <v>310000000</v>
      </c>
      <c r="P16" s="7">
        <f t="shared" si="3"/>
        <v>0.48136479305863344</v>
      </c>
      <c r="Q16" s="3">
        <f t="shared" si="11"/>
        <v>-179067703.01781166</v>
      </c>
      <c r="R16" s="12">
        <f t="shared" si="8"/>
        <v>160722185.14309424</v>
      </c>
      <c r="U16">
        <v>9</v>
      </c>
      <c r="V16" s="3">
        <f t="shared" si="4"/>
        <v>-155000000</v>
      </c>
      <c r="W16" s="80">
        <f>0.1*'(2) NEM phase in'!W16</f>
        <v>46864825.615625329</v>
      </c>
      <c r="X16" s="2">
        <f>'(2) NEM phase in'!X16</f>
        <v>-155000000</v>
      </c>
      <c r="Y16" s="2">
        <f>'(2) NEM phase in'!Y16</f>
        <v>356500000</v>
      </c>
      <c r="Z16" s="7">
        <f t="shared" si="5"/>
        <v>0.48136479305863344</v>
      </c>
      <c r="AA16" s="3">
        <f t="shared" si="9"/>
        <v>-149223085.84817636</v>
      </c>
      <c r="AB16" s="12">
        <f t="shared" si="10"/>
        <v>194165625.80959725</v>
      </c>
    </row>
    <row r="17" spans="1:28" x14ac:dyDescent="0.25">
      <c r="A17">
        <v>10</v>
      </c>
      <c r="B17" s="3">
        <f t="shared" si="0"/>
        <v>-124000000</v>
      </c>
      <c r="C17" s="80">
        <f>0.1*'(2) NEM phase in'!C17</f>
        <v>96240613.151414454</v>
      </c>
      <c r="D17" s="79">
        <f>'(2) NEM phase in'!D17</f>
        <v>-124000000</v>
      </c>
      <c r="E17" s="80">
        <f>'(2) NEM phase in'!E17</f>
        <v>403000000</v>
      </c>
      <c r="F17" s="7">
        <f t="shared" si="1"/>
        <v>0.44570814172095685</v>
      </c>
      <c r="G17" s="3">
        <f t="shared" si="6"/>
        <v>-110535619.1467973</v>
      </c>
      <c r="H17" s="12">
        <f t="shared" si="7"/>
        <v>222515605.95934802</v>
      </c>
      <c r="K17">
        <v>10</v>
      </c>
      <c r="L17" s="3">
        <f t="shared" si="2"/>
        <v>-186000000</v>
      </c>
      <c r="M17" s="80">
        <f>0.1*'(2) NEM phase in'!M17</f>
        <v>29387705.467803672</v>
      </c>
      <c r="N17" s="2">
        <f>'(2) NEM phase in'!N17</f>
        <v>-186000000</v>
      </c>
      <c r="O17" s="2">
        <f>'(2) NEM phase in'!O17</f>
        <v>310000000</v>
      </c>
      <c r="P17" s="7">
        <f t="shared" si="3"/>
        <v>0.44570814172095685</v>
      </c>
      <c r="Q17" s="3">
        <f t="shared" si="11"/>
        <v>-165803428.72019595</v>
      </c>
      <c r="R17" s="12">
        <f t="shared" si="8"/>
        <v>151267863.5269942</v>
      </c>
      <c r="U17">
        <v>10</v>
      </c>
      <c r="V17" s="3">
        <f t="shared" si="4"/>
        <v>-155000000</v>
      </c>
      <c r="W17" s="80">
        <f>0.1*'(2) NEM phase in'!W17</f>
        <v>57653168.824169151</v>
      </c>
      <c r="X17" s="2">
        <f>'(2) NEM phase in'!X17</f>
        <v>-155000000</v>
      </c>
      <c r="Y17" s="2">
        <f>'(2) NEM phase in'!Y17</f>
        <v>356500000</v>
      </c>
      <c r="Z17" s="7">
        <f t="shared" si="5"/>
        <v>0.44570814172095685</v>
      </c>
      <c r="AA17" s="3">
        <f t="shared" si="9"/>
        <v>-138169523.93349662</v>
      </c>
      <c r="AB17" s="12">
        <f t="shared" si="10"/>
        <v>184591439.26446617</v>
      </c>
    </row>
    <row r="18" spans="1:28" x14ac:dyDescent="0.25">
      <c r="A18">
        <v>11</v>
      </c>
      <c r="B18" s="3">
        <f t="shared" si="0"/>
        <v>-124000000</v>
      </c>
      <c r="C18" s="80">
        <f>0.1*'(2) NEM phase in'!C18</f>
        <v>113344025.37990168</v>
      </c>
      <c r="D18" s="79">
        <f>'(2) NEM phase in'!D18</f>
        <v>-124000000</v>
      </c>
      <c r="E18" s="80">
        <f>'(2) NEM phase in'!E18</f>
        <v>403000000</v>
      </c>
      <c r="F18" s="7">
        <f t="shared" si="1"/>
        <v>0.41269272381570077</v>
      </c>
      <c r="G18" s="3">
        <f t="shared" si="6"/>
        <v>-102347795.50629379</v>
      </c>
      <c r="H18" s="12">
        <f t="shared" si="7"/>
        <v>213091422.25999492</v>
      </c>
      <c r="K18">
        <v>11</v>
      </c>
      <c r="L18" s="3">
        <f t="shared" si="2"/>
        <v>-186000000</v>
      </c>
      <c r="M18" s="80">
        <f>0.1*'(2) NEM phase in'!M18</f>
        <v>34610345.106169552</v>
      </c>
      <c r="N18" s="2">
        <f>'(2) NEM phase in'!N18</f>
        <v>-186000000</v>
      </c>
      <c r="O18" s="2">
        <f>'(2) NEM phase in'!O18</f>
        <v>310000000</v>
      </c>
      <c r="P18" s="7">
        <f t="shared" si="3"/>
        <v>0.41269272381570077</v>
      </c>
      <c r="Q18" s="3">
        <f t="shared" si="11"/>
        <v>-153521693.25944069</v>
      </c>
      <c r="R18" s="12">
        <f t="shared" si="8"/>
        <v>142218181.97693378</v>
      </c>
      <c r="U18">
        <v>11</v>
      </c>
      <c r="V18" s="3">
        <f t="shared" si="4"/>
        <v>-155000000</v>
      </c>
      <c r="W18" s="80">
        <f>0.1*'(2) NEM phase in'!W18</f>
        <v>67899008.708075166</v>
      </c>
      <c r="X18" s="2">
        <f>'(2) NEM phase in'!X18</f>
        <v>-155000000</v>
      </c>
      <c r="Y18" s="2">
        <f>'(2) NEM phase in'!Y18</f>
        <v>356500000</v>
      </c>
      <c r="Z18" s="7">
        <f t="shared" si="5"/>
        <v>0.41269272381570077</v>
      </c>
      <c r="AA18" s="3">
        <f t="shared" si="9"/>
        <v>-127934744.38286723</v>
      </c>
      <c r="AB18" s="12">
        <f t="shared" si="10"/>
        <v>175146382.88841885</v>
      </c>
    </row>
    <row r="19" spans="1:28" x14ac:dyDescent="0.25">
      <c r="A19">
        <v>12</v>
      </c>
      <c r="B19" s="3">
        <f t="shared" si="0"/>
        <v>0</v>
      </c>
      <c r="C19" s="80">
        <f>0.1*'(2) NEM phase in'!C19</f>
        <v>128778013.060094</v>
      </c>
      <c r="D19" s="79">
        <f>'(2) NEM phase in'!D19</f>
        <v>-124000000</v>
      </c>
      <c r="E19" s="80">
        <f>'(2) NEM phase in'!E19</f>
        <v>403000000</v>
      </c>
      <c r="F19" s="7">
        <f t="shared" si="1"/>
        <v>0.38212289242194514</v>
      </c>
      <c r="G19" s="3">
        <f t="shared" si="6"/>
        <v>-47383238.660321198</v>
      </c>
      <c r="H19" s="12">
        <f t="shared" si="7"/>
        <v>203204552.47691804</v>
      </c>
      <c r="K19">
        <v>12</v>
      </c>
      <c r="L19" s="3">
        <f t="shared" si="2"/>
        <v>0</v>
      </c>
      <c r="M19" s="80">
        <f>0.1*'(2) NEM phase in'!M19</f>
        <v>39323214.956921719</v>
      </c>
      <c r="N19" s="2">
        <f>'(2) NEM phase in'!N19</f>
        <v>-186000000</v>
      </c>
      <c r="O19" s="2">
        <f>'(2) NEM phase in'!O19</f>
        <v>310000000</v>
      </c>
      <c r="P19" s="7">
        <f t="shared" si="3"/>
        <v>0.38212289242194514</v>
      </c>
      <c r="Q19" s="3">
        <f t="shared" si="11"/>
        <v>-71074857.990481794</v>
      </c>
      <c r="R19" s="12">
        <f t="shared" si="8"/>
        <v>133484397.28947181</v>
      </c>
      <c r="U19">
        <v>12</v>
      </c>
      <c r="V19" s="3">
        <f t="shared" si="4"/>
        <v>0</v>
      </c>
      <c r="W19" s="80">
        <f>0.1*'(2) NEM phase in'!W19</f>
        <v>77144775.835060671</v>
      </c>
      <c r="X19" s="2">
        <f>'(2) NEM phase in'!X19</f>
        <v>-155000000</v>
      </c>
      <c r="Y19" s="2">
        <f>'(2) NEM phase in'!Y19</f>
        <v>356500000</v>
      </c>
      <c r="Z19" s="7">
        <f t="shared" si="5"/>
        <v>0.38212289242194514</v>
      </c>
      <c r="AA19" s="3">
        <f t="shared" si="9"/>
        <v>-59229048.3254015</v>
      </c>
      <c r="AB19" s="12">
        <f t="shared" si="10"/>
        <v>165705596.0257594</v>
      </c>
    </row>
    <row r="20" spans="1:28" x14ac:dyDescent="0.25">
      <c r="A20">
        <v>13</v>
      </c>
      <c r="B20" s="3">
        <f t="shared" si="0"/>
        <v>0</v>
      </c>
      <c r="C20" s="80">
        <f>0.1*'(2) NEM phase in'!C20</f>
        <v>142122499.20772907</v>
      </c>
      <c r="D20" s="79">
        <f>'(2) NEM phase in'!D20</f>
        <v>-124000000</v>
      </c>
      <c r="E20" s="80">
        <f>'(2) NEM phase in'!E20</f>
        <v>403000000</v>
      </c>
      <c r="F20" s="7">
        <f t="shared" si="1"/>
        <v>0.35381749298328247</v>
      </c>
      <c r="G20" s="3">
        <f t="shared" si="6"/>
        <v>-43873369.129927024</v>
      </c>
      <c r="H20" s="12">
        <f t="shared" si="7"/>
        <v>192873876.03846011</v>
      </c>
      <c r="K20">
        <v>13</v>
      </c>
      <c r="L20" s="3">
        <f t="shared" si="2"/>
        <v>0</v>
      </c>
      <c r="M20" s="80">
        <f>0.1*'(2) NEM phase in'!M20</f>
        <v>43398041.744536817</v>
      </c>
      <c r="N20" s="2">
        <f>'(2) NEM phase in'!N20</f>
        <v>-186000000</v>
      </c>
      <c r="O20" s="2">
        <f>'(2) NEM phase in'!O20</f>
        <v>310000000</v>
      </c>
      <c r="P20" s="7">
        <f t="shared" si="3"/>
        <v>0.35381749298328247</v>
      </c>
      <c r="Q20" s="3">
        <f t="shared" si="11"/>
        <v>-65810053.694890536</v>
      </c>
      <c r="R20" s="12">
        <f t="shared" si="8"/>
        <v>125038409.15525343</v>
      </c>
      <c r="U20">
        <v>13</v>
      </c>
      <c r="V20" s="3">
        <f t="shared" si="4"/>
        <v>0</v>
      </c>
      <c r="W20" s="80">
        <f>0.1*'(2) NEM phase in'!W20</f>
        <v>85138822.085898429</v>
      </c>
      <c r="X20" s="2">
        <f>'(2) NEM phase in'!X20</f>
        <v>-155000000</v>
      </c>
      <c r="Y20" s="2">
        <f>'(2) NEM phase in'!Y20</f>
        <v>356500000</v>
      </c>
      <c r="Z20" s="7">
        <f t="shared" si="5"/>
        <v>0.35381749298328247</v>
      </c>
      <c r="AA20" s="3">
        <f t="shared" si="9"/>
        <v>-54841711.412408784</v>
      </c>
      <c r="AB20" s="12">
        <f t="shared" si="10"/>
        <v>156259540.83452249</v>
      </c>
    </row>
    <row r="21" spans="1:28" x14ac:dyDescent="0.25">
      <c r="A21">
        <v>14</v>
      </c>
      <c r="B21" s="3">
        <f t="shared" si="0"/>
        <v>0</v>
      </c>
      <c r="C21" s="80">
        <f>0.1*'(2) NEM phase in'!C21</f>
        <v>153264297.97746468</v>
      </c>
      <c r="D21" s="79">
        <f>'(2) NEM phase in'!D21</f>
        <v>-124000000</v>
      </c>
      <c r="E21" s="80">
        <f>'(2) NEM phase in'!E21</f>
        <v>403000000</v>
      </c>
      <c r="F21" s="7">
        <f t="shared" si="1"/>
        <v>0.32760878979933561</v>
      </c>
      <c r="G21" s="3">
        <f t="shared" si="6"/>
        <v>-40623489.935117617</v>
      </c>
      <c r="H21" s="12">
        <f t="shared" si="7"/>
        <v>182237073.4689742</v>
      </c>
      <c r="K21">
        <v>14</v>
      </c>
      <c r="L21" s="3">
        <f t="shared" si="2"/>
        <v>0</v>
      </c>
      <c r="M21" s="80">
        <f>0.1*'(2) NEM phase in'!M21</f>
        <v>46800263.425225623</v>
      </c>
      <c r="N21" s="2">
        <f>'(2) NEM phase in'!N21</f>
        <v>-186000000</v>
      </c>
      <c r="O21" s="2">
        <f>'(2) NEM phase in'!O21</f>
        <v>310000000</v>
      </c>
      <c r="P21" s="7">
        <f t="shared" si="3"/>
        <v>0.32760878979933561</v>
      </c>
      <c r="Q21" s="3">
        <f t="shared" si="11"/>
        <v>-60935234.902676426</v>
      </c>
      <c r="R21" s="12">
        <f t="shared" si="8"/>
        <v>116890902.50082231</v>
      </c>
      <c r="U21">
        <v>14</v>
      </c>
      <c r="V21" s="3">
        <f t="shared" si="4"/>
        <v>0</v>
      </c>
      <c r="W21" s="80">
        <f>0.1*'(2) NEM phase in'!W21</f>
        <v>91813343.210009158</v>
      </c>
      <c r="X21" s="2">
        <f>'(2) NEM phase in'!X21</f>
        <v>-155000000</v>
      </c>
      <c r="Y21" s="2">
        <f>'(2) NEM phase in'!Y21</f>
        <v>356500000</v>
      </c>
      <c r="Z21" s="7">
        <f t="shared" si="5"/>
        <v>0.32760878979933561</v>
      </c>
      <c r="AA21" s="3">
        <f t="shared" si="9"/>
        <v>-50779362.418897018</v>
      </c>
      <c r="AB21" s="12">
        <f t="shared" si="10"/>
        <v>146871391.81992528</v>
      </c>
    </row>
    <row r="22" spans="1:28" x14ac:dyDescent="0.25">
      <c r="A22">
        <v>15</v>
      </c>
      <c r="B22" s="3">
        <f t="shared" si="0"/>
        <v>0</v>
      </c>
      <c r="C22" s="80">
        <f>0.1*'(2) NEM phase in'!C22</f>
        <v>127037956.52141009</v>
      </c>
      <c r="D22" s="79">
        <f>'(2) NEM phase in'!D22</f>
        <v>-99200000</v>
      </c>
      <c r="E22" s="80">
        <f>'(2) NEM phase in'!E22</f>
        <v>322400000</v>
      </c>
      <c r="F22" s="7">
        <f t="shared" si="1"/>
        <v>0.30334147203642187</v>
      </c>
      <c r="G22" s="3">
        <f t="shared" si="6"/>
        <v>-30091474.02601305</v>
      </c>
      <c r="H22" s="12">
        <f t="shared" si="7"/>
        <v>136333171.32024592</v>
      </c>
      <c r="K22">
        <v>15</v>
      </c>
      <c r="L22" s="3">
        <f t="shared" si="2"/>
        <v>0</v>
      </c>
      <c r="M22" s="80">
        <f>0.1*'(2) NEM phase in'!M22</f>
        <v>38791877.225565866</v>
      </c>
      <c r="N22" s="2">
        <f>'(2) NEM phase in'!N22</f>
        <v>-148800000</v>
      </c>
      <c r="O22" s="2">
        <f>'(2) NEM phase in'!O22</f>
        <v>248000000</v>
      </c>
      <c r="P22" s="7">
        <f t="shared" si="3"/>
        <v>0.30334147203642187</v>
      </c>
      <c r="Q22" s="3">
        <f t="shared" si="11"/>
        <v>-45137211.039019577</v>
      </c>
      <c r="R22" s="12">
        <f t="shared" si="8"/>
        <v>86995870.205691919</v>
      </c>
      <c r="U22">
        <v>15</v>
      </c>
      <c r="V22" s="3">
        <f t="shared" si="4"/>
        <v>0</v>
      </c>
      <c r="W22" s="80">
        <f>0.1*'(2) NEM phase in'!W22</f>
        <v>76102390.815853536</v>
      </c>
      <c r="X22" s="2">
        <f>'(2) NEM phase in'!X22</f>
        <v>-124000000</v>
      </c>
      <c r="Y22" s="2">
        <f>'(2) NEM phase in'!Y22</f>
        <v>285200000</v>
      </c>
      <c r="Z22" s="7">
        <f t="shared" si="5"/>
        <v>0.30334147203642187</v>
      </c>
      <c r="AA22" s="3">
        <f t="shared" si="9"/>
        <v>-37614342.532516308</v>
      </c>
      <c r="AB22" s="12">
        <f t="shared" si="10"/>
        <v>109597999.08035959</v>
      </c>
    </row>
    <row r="23" spans="1:28" x14ac:dyDescent="0.25">
      <c r="A23">
        <v>16</v>
      </c>
      <c r="C23" s="80">
        <f>0.1*'(2) NEM phase in'!C23</f>
        <v>98139277.147748888</v>
      </c>
      <c r="D23" s="79">
        <f>'(2) NEM phase in'!D23</f>
        <v>-74400000</v>
      </c>
      <c r="E23" s="80">
        <f>'(2) NEM phase in'!E23</f>
        <v>241800000</v>
      </c>
      <c r="F23" s="7">
        <f t="shared" si="1"/>
        <v>0.28087173336705723</v>
      </c>
      <c r="G23" s="3">
        <f t="shared" si="6"/>
        <v>-20896856.962509058</v>
      </c>
      <c r="H23" s="12">
        <f t="shared" si="7"/>
        <v>95479334.012032703</v>
      </c>
      <c r="K23">
        <v>16</v>
      </c>
      <c r="M23" s="80">
        <f>0.1*'(2) NEM phase in'!M23</f>
        <v>29967475.031603254</v>
      </c>
      <c r="N23" s="2">
        <f>'(2) NEM phase in'!N23</f>
        <v>-111600000</v>
      </c>
      <c r="O23" s="2">
        <f>'(2) NEM phase in'!O23</f>
        <v>186000000</v>
      </c>
      <c r="P23" s="7">
        <f t="shared" si="3"/>
        <v>0.28087173336705723</v>
      </c>
      <c r="Q23" s="3">
        <f t="shared" ref="Q23:Q25" si="12">P23*(L23+N23)</f>
        <v>-31345285.443763588</v>
      </c>
      <c r="R23" s="12">
        <f t="shared" ref="R23:R25" si="13">P23*(M23+O23)</f>
        <v>60659159.063033059</v>
      </c>
      <c r="U23">
        <v>16</v>
      </c>
      <c r="W23" s="80">
        <f>0.1*'(2) NEM phase in'!W23</f>
        <v>58790568.019130863</v>
      </c>
      <c r="X23" s="2">
        <f>'(2) NEM phase in'!X23</f>
        <v>-93000000</v>
      </c>
      <c r="Y23" s="2">
        <f>'(2) NEM phase in'!Y23</f>
        <v>213900000</v>
      </c>
      <c r="Z23" s="7">
        <f t="shared" si="5"/>
        <v>0.28087173336705723</v>
      </c>
      <c r="AA23" s="3">
        <f t="shared" ref="AA23:AA25" si="14">Z23*(V23+X23)</f>
        <v>-26121071.203136321</v>
      </c>
      <c r="AB23" s="12">
        <f t="shared" ref="AB23:AB25" si="15">Z23*(W23+Y23)</f>
        <v>76591072.512380719</v>
      </c>
    </row>
    <row r="24" spans="1:28" x14ac:dyDescent="0.25">
      <c r="A24">
        <v>17</v>
      </c>
      <c r="C24" s="80">
        <f>0.1*'(2) NEM phase in'!C24</f>
        <v>67050633.888759628</v>
      </c>
      <c r="D24" s="79">
        <f>'(2) NEM phase in'!D24</f>
        <v>-49600000</v>
      </c>
      <c r="E24" s="80">
        <f>'(2) NEM phase in'!E24</f>
        <v>161200000</v>
      </c>
      <c r="F24" s="7">
        <f t="shared" si="1"/>
        <v>0.26006641978431222</v>
      </c>
      <c r="G24" s="3">
        <f t="shared" si="6"/>
        <v>-12899294.421301886</v>
      </c>
      <c r="H24" s="12">
        <f t="shared" si="7"/>
        <v>59360325.168949515</v>
      </c>
      <c r="K24">
        <v>17</v>
      </c>
      <c r="M24" s="80">
        <f>0.1*'(2) NEM phase in'!M24</f>
        <v>20474352.93302102</v>
      </c>
      <c r="N24" s="2">
        <f>'(2) NEM phase in'!N24</f>
        <v>-74400000</v>
      </c>
      <c r="O24" s="2">
        <f>'(2) NEM phase in'!O24</f>
        <v>124000000</v>
      </c>
      <c r="P24" s="7">
        <f t="shared" si="3"/>
        <v>0.26006641978431222</v>
      </c>
      <c r="Q24" s="3">
        <f t="shared" si="12"/>
        <v>-19348941.63195283</v>
      </c>
      <c r="R24" s="12">
        <f t="shared" si="13"/>
        <v>37572927.717945918</v>
      </c>
      <c r="U24">
        <v>17</v>
      </c>
      <c r="W24" s="80">
        <f>0.1*'(2) NEM phase in'!W24</f>
        <v>40166842.13424924</v>
      </c>
      <c r="X24" s="2">
        <f>'(2) NEM phase in'!X24</f>
        <v>-62000000</v>
      </c>
      <c r="Y24" s="2">
        <f>'(2) NEM phase in'!Y24</f>
        <v>142600000</v>
      </c>
      <c r="Z24" s="7">
        <f t="shared" si="5"/>
        <v>0.26006641978431222</v>
      </c>
      <c r="AA24" s="3">
        <f t="shared" si="14"/>
        <v>-16124118.026627358</v>
      </c>
      <c r="AB24" s="12">
        <f t="shared" si="15"/>
        <v>47531518.289138786</v>
      </c>
    </row>
    <row r="25" spans="1:28" x14ac:dyDescent="0.25">
      <c r="A25">
        <v>18</v>
      </c>
      <c r="C25" s="80">
        <f>0.1*'(2) NEM phase in'!C25</f>
        <v>34211633.309812114</v>
      </c>
      <c r="D25" s="79">
        <f>'(2) NEM phase in'!D25</f>
        <v>-24800000</v>
      </c>
      <c r="E25" s="80">
        <f>'(2) NEM phase in'!E25</f>
        <v>80600000</v>
      </c>
      <c r="F25" s="7">
        <f t="shared" si="1"/>
        <v>0.24080224054102983</v>
      </c>
      <c r="G25" s="3">
        <f t="shared" si="6"/>
        <v>-5971895.5654175403</v>
      </c>
      <c r="H25" s="12">
        <f t="shared" si="7"/>
        <v>27646898.541177891</v>
      </c>
      <c r="K25">
        <v>18</v>
      </c>
      <c r="M25" s="80">
        <f>0.1*'(2) NEM phase in'!M25</f>
        <v>10446747.691636909</v>
      </c>
      <c r="N25" s="2">
        <f>'(2) NEM phase in'!N25</f>
        <v>-37200000</v>
      </c>
      <c r="O25" s="2">
        <f>'(2) NEM phase in'!O25</f>
        <v>62000000</v>
      </c>
      <c r="P25" s="7">
        <f t="shared" si="3"/>
        <v>0.24080224054102983</v>
      </c>
      <c r="Q25" s="3">
        <f t="shared" si="12"/>
        <v>-8957843.348126309</v>
      </c>
      <c r="R25" s="12">
        <f t="shared" si="13"/>
        <v>17445339.164056849</v>
      </c>
      <c r="U25">
        <v>18</v>
      </c>
      <c r="W25" s="80">
        <f>0.1*'(2) NEM phase in'!W25</f>
        <v>20494560.522572666</v>
      </c>
      <c r="X25" s="2">
        <f>'(2) NEM phase in'!X25</f>
        <v>-31000000</v>
      </c>
      <c r="Y25" s="2">
        <f>'(2) NEM phase in'!Y25</f>
        <v>71300000</v>
      </c>
      <c r="Z25" s="7">
        <f t="shared" si="5"/>
        <v>0.24080224054102983</v>
      </c>
      <c r="AA25" s="3">
        <f t="shared" si="14"/>
        <v>-7464869.4567719251</v>
      </c>
      <c r="AB25" s="12">
        <f t="shared" si="15"/>
        <v>22104335.843314663</v>
      </c>
    </row>
    <row r="26" spans="1:28" x14ac:dyDescent="0.25">
      <c r="C26" s="80"/>
      <c r="D26" s="2"/>
      <c r="E26" s="80"/>
      <c r="F26" s="7"/>
      <c r="G26" s="3"/>
      <c r="H26" s="12">
        <f t="shared" si="7"/>
        <v>0</v>
      </c>
      <c r="M26" s="80"/>
      <c r="N26" s="2"/>
      <c r="O26" s="2"/>
      <c r="P26" s="7"/>
      <c r="Q26" s="3"/>
      <c r="R26" s="12"/>
      <c r="W26" s="80"/>
      <c r="X26" s="2"/>
      <c r="Y26" s="2"/>
      <c r="Z26" s="7"/>
      <c r="AA26" s="3"/>
      <c r="AB26" s="12"/>
    </row>
    <row r="27" spans="1:28" x14ac:dyDescent="0.25">
      <c r="C27" s="3"/>
    </row>
    <row r="28" spans="1:28" x14ac:dyDescent="0.25">
      <c r="C28" s="3"/>
      <c r="G28" t="s">
        <v>90</v>
      </c>
      <c r="H28" s="12">
        <f>SUM(G7:G26)</f>
        <v>-2640684807.0092406</v>
      </c>
      <c r="Q28" t="s">
        <v>90</v>
      </c>
      <c r="R28" s="12">
        <f>SUM(Q7:Q25)</f>
        <v>-5993376874.6847486</v>
      </c>
      <c r="AA28" t="s">
        <v>90</v>
      </c>
      <c r="AB28" s="12">
        <f>SUM(AA7:AA25)</f>
        <v>-4317030840.8469944</v>
      </c>
    </row>
    <row r="29" spans="1:28" x14ac:dyDescent="0.25">
      <c r="C29" s="3"/>
      <c r="G29" t="s">
        <v>91</v>
      </c>
      <c r="H29" s="12">
        <f>SUM(H7:H26)</f>
        <v>2848841152.8858128</v>
      </c>
      <c r="Q29" t="s">
        <v>91</v>
      </c>
      <c r="R29" s="12">
        <f>SUM(R7:R25)</f>
        <v>2025556001.0893278</v>
      </c>
      <c r="AA29" t="s">
        <v>91</v>
      </c>
      <c r="AB29" s="12">
        <f>SUM(AB7:AB25)</f>
        <v>2445357888.8500204</v>
      </c>
    </row>
    <row r="30" spans="1:28" x14ac:dyDescent="0.25">
      <c r="G30" s="1" t="s">
        <v>12</v>
      </c>
      <c r="H30" s="2">
        <f>SUM(G7:H26)</f>
        <v>208156345.87657294</v>
      </c>
      <c r="Q30" s="1" t="s">
        <v>12</v>
      </c>
      <c r="R30" s="2">
        <f>SUM(Q7:R25)</f>
        <v>-3967820873.5954199</v>
      </c>
      <c r="AA30" s="1" t="s">
        <v>12</v>
      </c>
      <c r="AB30" s="2">
        <f>SUM(AA7:AB25)</f>
        <v>-1871672951.9969728</v>
      </c>
    </row>
    <row r="31" spans="1:28" x14ac:dyDescent="0.25">
      <c r="A31" s="46"/>
      <c r="G31" s="1" t="s">
        <v>13</v>
      </c>
      <c r="H31" s="9">
        <f>-SUM(H7:H26)/SUM(G7:G26)</f>
        <v>1.0788266533453963</v>
      </c>
      <c r="Q31" s="1" t="s">
        <v>13</v>
      </c>
      <c r="R31" s="9">
        <f>-SUM(R7:R25)/SUM(Q7:Q25)</f>
        <v>0.33796573174715833</v>
      </c>
      <c r="AA31" s="1" t="s">
        <v>13</v>
      </c>
      <c r="AB31" s="9">
        <f>-SUM(AB7:AB25)/SUM(AA7:AA25)</f>
        <v>0.56644438712655687</v>
      </c>
    </row>
    <row r="34" spans="1:27" ht="24" thickBot="1" x14ac:dyDescent="0.4">
      <c r="A34" s="10" t="s">
        <v>113</v>
      </c>
    </row>
    <row r="35" spans="1:27" ht="15.75" thickBot="1" x14ac:dyDescent="0.3">
      <c r="A35" s="27"/>
      <c r="B35" s="28" t="s">
        <v>44</v>
      </c>
      <c r="C35" s="28" t="s">
        <v>45</v>
      </c>
      <c r="D35" s="28" t="s">
        <v>46</v>
      </c>
      <c r="E35" s="28" t="s">
        <v>47</v>
      </c>
      <c r="AA35" s="1"/>
    </row>
    <row r="36" spans="1:27" x14ac:dyDescent="0.25">
      <c r="A36" s="29" t="s">
        <v>70</v>
      </c>
      <c r="B36" s="30" t="s">
        <v>77</v>
      </c>
      <c r="C36" s="37">
        <f>Meters_NonVic</f>
        <v>6200000</v>
      </c>
      <c r="D36" s="37">
        <f>Meters_NonVic</f>
        <v>6200000</v>
      </c>
      <c r="E36" s="37">
        <f>Meters_NonVic</f>
        <v>6200000</v>
      </c>
      <c r="Q36" s="1"/>
      <c r="AA36" s="1"/>
    </row>
    <row r="37" spans="1:27" x14ac:dyDescent="0.25">
      <c r="A37" s="29" t="s">
        <v>50</v>
      </c>
      <c r="B37" s="30" t="s">
        <v>51</v>
      </c>
      <c r="C37" s="20">
        <f>'(2) NEM phase in'!L4</f>
        <v>11550</v>
      </c>
      <c r="D37" s="20">
        <f>'(2) NEM phase in'!V4</f>
        <v>13200</v>
      </c>
      <c r="E37" s="20">
        <f>'(2) NEM phase in'!B3</f>
        <v>14850</v>
      </c>
      <c r="G37" s="1"/>
      <c r="Q37" s="1"/>
    </row>
    <row r="38" spans="1:27" x14ac:dyDescent="0.25">
      <c r="A38" s="29" t="s">
        <v>52</v>
      </c>
      <c r="B38" s="30" t="s">
        <v>53</v>
      </c>
      <c r="C38" s="30">
        <f>smart_meter_costs_high</f>
        <v>800</v>
      </c>
      <c r="D38" s="30">
        <f>smart_meter_costs_medium</f>
        <v>535</v>
      </c>
      <c r="E38" s="30">
        <f>smart_meter_costs_low</f>
        <v>270</v>
      </c>
      <c r="G38" s="1"/>
    </row>
    <row r="39" spans="1:27" x14ac:dyDescent="0.25">
      <c r="A39" s="29" t="s">
        <v>54</v>
      </c>
      <c r="B39" s="30" t="s">
        <v>53</v>
      </c>
      <c r="C39" s="30">
        <f>IT_update_high</f>
        <v>150</v>
      </c>
      <c r="D39" s="30">
        <f>IT_update_medium</f>
        <v>125</v>
      </c>
      <c r="E39" s="30">
        <f>IT_update_low</f>
        <v>100</v>
      </c>
    </row>
    <row r="40" spans="1:27" ht="30.75" customHeight="1" x14ac:dyDescent="0.25">
      <c r="A40" s="29" t="s">
        <v>55</v>
      </c>
      <c r="B40" s="231" t="s">
        <v>78</v>
      </c>
      <c r="C40" s="231"/>
      <c r="D40" s="231"/>
      <c r="E40" s="231"/>
    </row>
    <row r="41" spans="1:27" x14ac:dyDescent="0.25">
      <c r="A41" s="29" t="s">
        <v>57</v>
      </c>
      <c r="B41" s="30" t="s">
        <v>58</v>
      </c>
      <c r="C41" s="30">
        <f>yrly_opex_high</f>
        <v>30</v>
      </c>
      <c r="D41" s="30">
        <f>yrly_opex_medium</f>
        <v>25</v>
      </c>
      <c r="E41" s="30">
        <f>yrly_opex_low</f>
        <v>20</v>
      </c>
    </row>
    <row r="42" spans="1:27" ht="25.5" x14ac:dyDescent="0.25">
      <c r="A42" s="29" t="s">
        <v>59</v>
      </c>
      <c r="B42" s="123" t="s">
        <v>244</v>
      </c>
      <c r="C42" s="30">
        <f>savings_low</f>
        <v>271.27285019321818</v>
      </c>
      <c r="D42" s="30">
        <f>savings_medium</f>
        <v>326.27285019321818</v>
      </c>
      <c r="E42" s="30">
        <f>savings_high</f>
        <v>381.27285019321818</v>
      </c>
    </row>
    <row r="43" spans="1:27" ht="25.5" x14ac:dyDescent="0.25">
      <c r="A43" s="29" t="s">
        <v>60</v>
      </c>
      <c r="B43" s="30" t="s">
        <v>61</v>
      </c>
      <c r="C43" s="20">
        <f>(1-EXP(-elasticity_low*LN(before_after_price)))*100*1/10</f>
        <v>1.877476036437645</v>
      </c>
      <c r="D43" s="20">
        <f>(1-EXP(-elasticity_medium*LN(before_after_price)))*100*1/10</f>
        <v>2.6795715202718728</v>
      </c>
      <c r="E43" s="20">
        <f>(1-EXP(-elasticity_high*LN(before_after_price)))*100*1/10</f>
        <v>3.402460446135529</v>
      </c>
    </row>
    <row r="44" spans="1:27" ht="36.75" customHeight="1" x14ac:dyDescent="0.25">
      <c r="A44" s="29" t="s">
        <v>62</v>
      </c>
      <c r="B44" s="231" t="s">
        <v>79</v>
      </c>
      <c r="C44" s="231"/>
      <c r="D44" s="231"/>
      <c r="E44" s="231"/>
    </row>
    <row r="45" spans="1:27" x14ac:dyDescent="0.25">
      <c r="A45" s="29" t="s">
        <v>64</v>
      </c>
      <c r="B45" s="30" t="s">
        <v>65</v>
      </c>
      <c r="C45" s="30">
        <f>discount_rate</f>
        <v>8</v>
      </c>
      <c r="D45" s="30">
        <f>discount_rate</f>
        <v>8</v>
      </c>
      <c r="E45" s="30">
        <f>discount_rate</f>
        <v>8</v>
      </c>
    </row>
    <row r="46" spans="1:27" x14ac:dyDescent="0.25">
      <c r="A46" s="29" t="s">
        <v>6</v>
      </c>
      <c r="B46" s="30" t="s">
        <v>66</v>
      </c>
      <c r="C46" s="44">
        <f>-R28/1000000</f>
        <v>5993.3768746847491</v>
      </c>
      <c r="D46" s="44">
        <f>(-AB28/1000000)</f>
        <v>4317.0308408469946</v>
      </c>
      <c r="E46" s="44">
        <f>-H28/1000000</f>
        <v>2640.6848070092406</v>
      </c>
    </row>
    <row r="47" spans="1:27" x14ac:dyDescent="0.25">
      <c r="A47" s="29" t="s">
        <v>5</v>
      </c>
      <c r="B47" s="30" t="s">
        <v>66</v>
      </c>
      <c r="C47" s="44">
        <f>R29/1000000</f>
        <v>2025.5560010893278</v>
      </c>
      <c r="D47" s="44">
        <f>AB29/1000000</f>
        <v>2445.3578888500206</v>
      </c>
      <c r="E47" s="20">
        <f>H29/1000000</f>
        <v>2848.8411528858128</v>
      </c>
    </row>
    <row r="48" spans="1:27" x14ac:dyDescent="0.25">
      <c r="A48" s="29" t="s">
        <v>12</v>
      </c>
      <c r="B48" s="30" t="s">
        <v>66</v>
      </c>
      <c r="C48" s="44">
        <f>C47-C46</f>
        <v>-3967.8208735954213</v>
      </c>
      <c r="D48" s="44">
        <f t="shared" ref="D48:E48" si="16">D47-D46</f>
        <v>-1871.672951996974</v>
      </c>
      <c r="E48" s="20">
        <f t="shared" si="16"/>
        <v>208.15634587657223</v>
      </c>
    </row>
    <row r="49" spans="1:5" x14ac:dyDescent="0.25">
      <c r="A49" s="31" t="s">
        <v>67</v>
      </c>
      <c r="B49" s="32" t="s">
        <v>68</v>
      </c>
      <c r="C49" s="40">
        <f>C48/Meters_NonVic*1000000</f>
        <v>-639.97110864442277</v>
      </c>
      <c r="D49" s="40">
        <f>D48/Meters_NonVic*1000000</f>
        <v>-301.88273419306029</v>
      </c>
      <c r="E49" s="40">
        <f>E48/Meters_NonVic*1000000</f>
        <v>33.573604173640682</v>
      </c>
    </row>
    <row r="50" spans="1:5" ht="15.75" thickBot="1" x14ac:dyDescent="0.3">
      <c r="A50" s="33" t="s">
        <v>21</v>
      </c>
      <c r="B50" s="34" t="s">
        <v>69</v>
      </c>
      <c r="C50" s="39">
        <f>C47/C46</f>
        <v>0.33796573174715827</v>
      </c>
      <c r="D50" s="39">
        <f t="shared" ref="D50:E50" si="17">D47/D46</f>
        <v>0.56644438712655698</v>
      </c>
      <c r="E50" s="39">
        <f t="shared" si="17"/>
        <v>1.0788266533453963</v>
      </c>
    </row>
    <row r="51" spans="1:5" ht="25.5" x14ac:dyDescent="0.25">
      <c r="A51" s="50" t="s">
        <v>87</v>
      </c>
      <c r="B51" s="51" t="s">
        <v>88</v>
      </c>
      <c r="C51" s="3">
        <f>(C49*discount_rate/100)/((1+discount_rate/100)^0.5-1/(1+discount_rate/100)^14.5)</f>
        <v>-71.945092553869245</v>
      </c>
      <c r="D51" s="3">
        <f>(D49*discount_rate/100)/((1+discount_rate/100)^0.5-1/(1+discount_rate/100)^14.5)</f>
        <v>-33.937440235293828</v>
      </c>
      <c r="E51" s="3">
        <f>(E49*discount_rate/100)/((1+discount_rate/100)^0.5-1/(1+discount_rate/100)^14.5)</f>
        <v>3.7743204763663978</v>
      </c>
    </row>
    <row r="52" spans="1:5" x14ac:dyDescent="0.25">
      <c r="A52" s="56"/>
      <c r="B52" s="56"/>
      <c r="C52" s="56"/>
      <c r="D52" s="56" t="s">
        <v>95</v>
      </c>
      <c r="E52" s="56" t="s">
        <v>96</v>
      </c>
    </row>
    <row r="53" spans="1:5" ht="25.5" x14ac:dyDescent="0.25">
      <c r="A53" s="57" t="s">
        <v>98</v>
      </c>
      <c r="B53" s="55"/>
      <c r="C53" s="55"/>
      <c r="D53" s="53">
        <f>_xlfn.BETA.INV(0.25,B63,B64,C49,E49)</f>
        <v>-418.75078604691009</v>
      </c>
      <c r="E53" s="53">
        <f>_xlfn.BETA.INV(0.75,B63,B64,C49,E49)</f>
        <v>-185.238853076228</v>
      </c>
    </row>
    <row r="54" spans="1:5" ht="25.5" x14ac:dyDescent="0.25">
      <c r="A54" s="57" t="s">
        <v>216</v>
      </c>
      <c r="B54" s="55"/>
      <c r="C54" s="55"/>
      <c r="D54" s="53">
        <f>MROUND((D53*discount_rate/100)/((1+discount_rate/100)^0.5-1/(1+discount_rate/100)^14.5),-5)</f>
        <v>-45</v>
      </c>
      <c r="E54" s="53">
        <f>MROUND((E53*discount_rate/100)/((1+discount_rate/100)^0.5-1/(1+discount_rate/100)^14.5),-5)</f>
        <v>-20</v>
      </c>
    </row>
    <row r="56" spans="1:5" x14ac:dyDescent="0.25">
      <c r="A56" s="50"/>
      <c r="B56" s="51"/>
      <c r="C56" s="3"/>
      <c r="D56" s="76"/>
    </row>
    <row r="57" spans="1:5" x14ac:dyDescent="0.25">
      <c r="A57" s="50"/>
    </row>
    <row r="58" spans="1:5" x14ac:dyDescent="0.25">
      <c r="A58" s="50"/>
    </row>
    <row r="60" spans="1:5" ht="35.25" customHeight="1" x14ac:dyDescent="0.25">
      <c r="A60" s="1" t="s">
        <v>97</v>
      </c>
    </row>
    <row r="61" spans="1:5" x14ac:dyDescent="0.25">
      <c r="A61" s="54" t="s">
        <v>115</v>
      </c>
      <c r="B61" s="62">
        <f>_xlfn.BETA.INV(0.5,B63,B64,$C$49,$E$49)</f>
        <v>-301.8827341539112</v>
      </c>
    </row>
    <row r="62" spans="1:5" x14ac:dyDescent="0.25">
      <c r="A62" s="54" t="s">
        <v>94</v>
      </c>
      <c r="B62" s="62">
        <f>_xlfn.BETA.INV(0.75,B63,B64,B64,E49)</f>
        <v>23.316381776981189</v>
      </c>
    </row>
    <row r="63" spans="1:5" x14ac:dyDescent="0.25">
      <c r="A63" s="54" t="s">
        <v>92</v>
      </c>
      <c r="B63" s="59">
        <v>2.0132783809281429</v>
      </c>
    </row>
    <row r="64" spans="1:5" ht="17.25" customHeight="1" x14ac:dyDescent="0.25">
      <c r="A64" s="54" t="s">
        <v>93</v>
      </c>
      <c r="B64" s="59">
        <v>2</v>
      </c>
    </row>
    <row r="65" spans="1:2" x14ac:dyDescent="0.25">
      <c r="A65" s="54" t="s">
        <v>100</v>
      </c>
      <c r="B65" s="61">
        <f>(B61-D49)^2</f>
        <v>1.5326509151374267E-15</v>
      </c>
    </row>
  </sheetData>
  <mergeCells count="2">
    <mergeCell ref="B40:E40"/>
    <mergeCell ref="B44:E44"/>
  </mergeCells>
  <hyperlinks>
    <hyperlink ref="G1" location="Contents!A1" display="Back to the Contents of this spreadsheet"/>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C00000"/>
  </sheetPr>
  <dimension ref="A1:AE64"/>
  <sheetViews>
    <sheetView topLeftCell="A37" zoomScaleNormal="100" workbookViewId="0">
      <selection activeCell="F1" sqref="F1"/>
    </sheetView>
  </sheetViews>
  <sheetFormatPr defaultRowHeight="15" x14ac:dyDescent="0.25"/>
  <cols>
    <col min="1" max="1" width="45.85546875" customWidth="1"/>
    <col min="2" max="2" width="23.7109375" customWidth="1"/>
    <col min="3" max="3" width="24.42578125" customWidth="1"/>
    <col min="4" max="4" width="23.42578125" customWidth="1"/>
    <col min="5" max="5" width="21.7109375" bestFit="1" customWidth="1"/>
    <col min="6" max="6" width="22.140625" customWidth="1"/>
    <col min="7" max="7" width="18.42578125" customWidth="1"/>
    <col min="8" max="8" width="15" customWidth="1"/>
    <col min="9" max="9" width="17.140625" customWidth="1"/>
    <col min="10" max="10" width="21.28515625" customWidth="1"/>
    <col min="11" max="11" width="19.140625" bestFit="1" customWidth="1"/>
    <col min="12" max="12" width="16.5703125" bestFit="1" customWidth="1"/>
    <col min="13" max="13" width="15.42578125" customWidth="1"/>
    <col min="14" max="14" width="12.5703125" customWidth="1"/>
    <col min="15" max="15" width="17.42578125" customWidth="1"/>
    <col min="16" max="16" width="18.7109375" customWidth="1"/>
    <col min="17" max="18" width="12.85546875" customWidth="1"/>
    <col min="19" max="19" width="18.7109375" customWidth="1"/>
    <col min="20" max="20" width="18.5703125" bestFit="1" customWidth="1"/>
    <col min="21" max="21" width="20.85546875" customWidth="1"/>
    <col min="22" max="22" width="22.42578125" customWidth="1"/>
    <col min="23" max="23" width="15.140625" customWidth="1"/>
    <col min="24" max="24" width="22.85546875" customWidth="1"/>
    <col min="25" max="25" width="21" customWidth="1"/>
    <col min="26" max="31" width="16" customWidth="1"/>
  </cols>
  <sheetData>
    <row r="1" spans="1:31" ht="19.5" customHeight="1" x14ac:dyDescent="0.35">
      <c r="A1" s="10" t="s">
        <v>8</v>
      </c>
      <c r="B1" s="10" t="s">
        <v>81</v>
      </c>
      <c r="F1" s="223" t="s">
        <v>389</v>
      </c>
      <c r="M1" s="10" t="s">
        <v>7</v>
      </c>
      <c r="W1" s="10" t="s">
        <v>15</v>
      </c>
    </row>
    <row r="2" spans="1:31" ht="16.149999999999999" customHeight="1" thickBot="1" x14ac:dyDescent="0.3"/>
    <row r="3" spans="1:31" ht="16.149999999999999" customHeight="1" x14ac:dyDescent="0.25">
      <c r="A3" s="1" t="s">
        <v>204</v>
      </c>
      <c r="B3" s="73">
        <f>Meters_NonVic*Participation_DLC_high</f>
        <v>1240000</v>
      </c>
      <c r="C3" s="77"/>
      <c r="E3" s="1"/>
      <c r="M3" s="1" t="s">
        <v>17</v>
      </c>
      <c r="N3" s="4">
        <f>Meters_NonVic*Participation_DLC_low</f>
        <v>124000</v>
      </c>
      <c r="W3" s="1" t="s">
        <v>17</v>
      </c>
      <c r="X3" s="4">
        <f>Meters_NonVic*Participation_DLC_medium</f>
        <v>310000</v>
      </c>
    </row>
    <row r="4" spans="1:31" ht="16.149999999999999" customHeight="1" x14ac:dyDescent="0.25">
      <c r="A4" s="1" t="s">
        <v>206</v>
      </c>
      <c r="B4" s="74">
        <f>PeakD_nonVic_max*Participation_DLC_high*1.5</f>
        <v>4455</v>
      </c>
      <c r="M4" s="1" t="s">
        <v>234</v>
      </c>
      <c r="N4" s="5">
        <f>PeakD_nonVic_min*Participation_DLC_low*1.5</f>
        <v>346.5</v>
      </c>
      <c r="W4" s="1" t="s">
        <v>76</v>
      </c>
      <c r="X4" s="5">
        <f>PeakD_nonVic_medium*Participation_DLC_medium*1.5</f>
        <v>990</v>
      </c>
    </row>
    <row r="5" spans="1:31" ht="16.149999999999999" customHeight="1" thickBot="1" x14ac:dyDescent="0.3">
      <c r="A5" s="1"/>
      <c r="B5" s="78"/>
      <c r="M5" s="1" t="s">
        <v>30</v>
      </c>
      <c r="N5" s="45">
        <f>DLC_response_low</f>
        <v>15</v>
      </c>
      <c r="O5" s="79"/>
      <c r="W5" s="1" t="s">
        <v>22</v>
      </c>
      <c r="X5" s="13">
        <v>3</v>
      </c>
    </row>
    <row r="6" spans="1:31" ht="15.75" thickBot="1" x14ac:dyDescent="0.3">
      <c r="A6" s="43"/>
      <c r="B6" s="78"/>
      <c r="C6" t="s">
        <v>231</v>
      </c>
      <c r="M6" s="1" t="s">
        <v>22</v>
      </c>
      <c r="N6" s="13">
        <v>3</v>
      </c>
      <c r="S6" s="1"/>
      <c r="T6" s="7"/>
    </row>
    <row r="7" spans="1:31" x14ac:dyDescent="0.25">
      <c r="A7" s="1"/>
      <c r="B7" s="1"/>
      <c r="S7" s="1"/>
      <c r="T7" s="1"/>
      <c r="AA7" s="77"/>
    </row>
    <row r="8" spans="1:31" x14ac:dyDescent="0.25">
      <c r="A8" s="1"/>
      <c r="B8" s="78"/>
      <c r="M8">
        <f>-(Cost_DirectLC_high+pay_high)</f>
        <v>-360</v>
      </c>
      <c r="N8">
        <f>Meters_NonVic*Participation_DLC_low</f>
        <v>124000</v>
      </c>
      <c r="AA8" s="77"/>
    </row>
    <row r="9" spans="1:31" x14ac:dyDescent="0.25">
      <c r="B9" s="77"/>
    </row>
    <row r="10" spans="1:31" x14ac:dyDescent="0.25">
      <c r="A10" s="1" t="s">
        <v>0</v>
      </c>
      <c r="B10" t="s">
        <v>230</v>
      </c>
      <c r="C10" t="s">
        <v>232</v>
      </c>
      <c r="D10" s="1" t="s">
        <v>207</v>
      </c>
      <c r="E10" s="1" t="s">
        <v>9</v>
      </c>
      <c r="F10" s="1" t="s">
        <v>10</v>
      </c>
      <c r="G10" s="1" t="s">
        <v>3</v>
      </c>
      <c r="H10" s="1" t="s">
        <v>6</v>
      </c>
      <c r="I10" s="1" t="s">
        <v>5</v>
      </c>
      <c r="J10" s="78" t="s">
        <v>233</v>
      </c>
      <c r="M10" s="1" t="s">
        <v>0</v>
      </c>
      <c r="N10" s="77" t="s">
        <v>230</v>
      </c>
      <c r="O10" s="77" t="s">
        <v>232</v>
      </c>
      <c r="P10" s="78" t="s">
        <v>207</v>
      </c>
      <c r="Q10" s="1" t="s">
        <v>9</v>
      </c>
      <c r="R10" s="1" t="s">
        <v>10</v>
      </c>
      <c r="S10" s="1" t="s">
        <v>3</v>
      </c>
      <c r="T10" s="1" t="s">
        <v>6</v>
      </c>
      <c r="U10" s="1" t="s">
        <v>5</v>
      </c>
      <c r="W10" s="1" t="s">
        <v>0</v>
      </c>
      <c r="X10" s="77" t="s">
        <v>230</v>
      </c>
      <c r="Y10" s="77" t="s">
        <v>232</v>
      </c>
      <c r="Z10" s="78" t="s">
        <v>207</v>
      </c>
      <c r="AA10" s="1" t="s">
        <v>9</v>
      </c>
      <c r="AB10" s="1" t="s">
        <v>10</v>
      </c>
      <c r="AC10" s="1" t="s">
        <v>3</v>
      </c>
      <c r="AD10" s="1" t="s">
        <v>6</v>
      </c>
      <c r="AE10" s="1" t="s">
        <v>5</v>
      </c>
    </row>
    <row r="11" spans="1:31" x14ac:dyDescent="0.25">
      <c r="A11">
        <v>0</v>
      </c>
      <c r="B11" s="77">
        <f t="shared" ref="B11:B26" si="0">Participation_DLC_high*J11</f>
        <v>4.0000000000000008E-2</v>
      </c>
      <c r="C11">
        <f>J11*Direct_load_control_devices</f>
        <v>248000</v>
      </c>
      <c r="D11" s="3">
        <f>-C11*(Cost_DirectLC_low+Pay_low)</f>
        <v>-47120000</v>
      </c>
      <c r="E11" s="80">
        <f>J11*savings_high*DLC_response_high/100*B$4*1000</f>
        <v>84928527.380539358</v>
      </c>
      <c r="F11" s="2">
        <f>-DLC_cost2*B11*Meters_NonVic</f>
        <v>-6200000.0000000009</v>
      </c>
      <c r="G11" s="7">
        <f t="shared" ref="G11:G26" si="1">1/((1+discount_rate/100)^($A11+0.5))</f>
        <v>0.96225044864937614</v>
      </c>
      <c r="H11" s="3">
        <f t="shared" ref="H11:H26" si="2">G11*(D11+F11)</f>
        <v>-51307193.92198474</v>
      </c>
      <c r="I11" s="12">
        <f t="shared" ref="I11:I12" si="3">G11*E11</f>
        <v>81722513.575054824</v>
      </c>
      <c r="J11">
        <v>0.2</v>
      </c>
      <c r="M11">
        <v>0</v>
      </c>
      <c r="N11" s="77">
        <f t="shared" ref="N11:N26" si="4">Participation_DLC_low*J11</f>
        <v>4.0000000000000001E-3</v>
      </c>
      <c r="O11" s="79">
        <f>J11*N$3</f>
        <v>24800</v>
      </c>
      <c r="P11" s="80">
        <f>-O11*(Cost_DirectLC_high+pay_high)</f>
        <v>-8928000</v>
      </c>
      <c r="Q11" s="80">
        <f t="shared" ref="Q11:Q26" si="5">J11*savings_low*DLC_response_low/100*N$4*1000</f>
        <v>2819881.2777585029</v>
      </c>
      <c r="R11" s="2">
        <f>-DLC_cost2*Meters_NonVic*Participation_DLC_low</f>
        <v>-3100000</v>
      </c>
      <c r="S11" s="7">
        <f t="shared" ref="S11:S26" si="6">1/((1+discount_rate/100)^($A11+0.5))</f>
        <v>0.96225044864937614</v>
      </c>
      <c r="T11" s="80">
        <f>S11*(P11+R11)</f>
        <v>-11573948.396354696</v>
      </c>
      <c r="U11" s="12">
        <f t="shared" ref="U11:U26" si="7">S11*Q11</f>
        <v>2713432.0246610953</v>
      </c>
      <c r="W11">
        <v>0</v>
      </c>
      <c r="X11" s="77">
        <f t="shared" ref="X11:X26" si="8">Participation_DLC_medium*J11</f>
        <v>1.0000000000000002E-2</v>
      </c>
      <c r="Y11" s="79">
        <f>J11*X$3</f>
        <v>62000</v>
      </c>
      <c r="Z11" s="80">
        <f>-Y11*(Cost_DirectLC_medium+Pay_middle)</f>
        <v>-17050000</v>
      </c>
      <c r="AA11" s="80">
        <f t="shared" ref="AA11:AA26" si="9">J11*savings_medium*DLC_response_medium/100*X$4*1000</f>
        <v>12920404.86765144</v>
      </c>
      <c r="AB11" s="2">
        <f t="shared" ref="AB11:AB26" si="10">-DLC_cost2*Meters_NonVic*Participation_DLC_medium</f>
        <v>-7750000</v>
      </c>
      <c r="AC11" s="7">
        <f t="shared" ref="AC11:AC26" si="11">1/((1+discount_rate/100)^($A11+0.5))</f>
        <v>0.96225044864937614</v>
      </c>
      <c r="AD11" s="17">
        <f>AC11*(Z11+AB11)</f>
        <v>-23863811.126504529</v>
      </c>
      <c r="AE11" s="12">
        <f t="shared" ref="AE11:AE26" si="12">AC11*AA11</f>
        <v>12432665.380629182</v>
      </c>
    </row>
    <row r="12" spans="1:31" x14ac:dyDescent="0.25">
      <c r="A12">
        <v>1</v>
      </c>
      <c r="B12" s="77">
        <f t="shared" si="0"/>
        <v>8.0000000000000016E-2</v>
      </c>
      <c r="C12">
        <f>(J12-J11)*Direct_load_control_devices</f>
        <v>248000</v>
      </c>
      <c r="D12" s="80">
        <f>-C12*(Cost_DirectLC_low)-(C11+C12)*Pay_low</f>
        <v>-54560000</v>
      </c>
      <c r="E12" s="3">
        <f t="shared" ref="E12:E26" si="13">J12*savings_high*DLC_response_high/100*B$4*1000</f>
        <v>169857054.76107872</v>
      </c>
      <c r="F12" s="79">
        <f t="shared" ref="F12:F26" si="14">-DLC_cost2*B12*Meters_NonVic</f>
        <v>-12400000.000000002</v>
      </c>
      <c r="G12" s="7">
        <f t="shared" si="1"/>
        <v>0.89097263763831136</v>
      </c>
      <c r="H12" s="3">
        <f t="shared" si="2"/>
        <v>-59659527.816261329</v>
      </c>
      <c r="I12" s="12">
        <f t="shared" si="3"/>
        <v>151337988.10195339</v>
      </c>
      <c r="J12">
        <v>0.4</v>
      </c>
      <c r="M12">
        <v>1</v>
      </c>
      <c r="N12" s="77">
        <f t="shared" si="4"/>
        <v>8.0000000000000002E-3</v>
      </c>
      <c r="O12" s="79">
        <f>(J12-J11)*N$3</f>
        <v>24800</v>
      </c>
      <c r="P12" s="80">
        <f>-O12*(Cost_DirectLC_high)-(O11+O12)*pay_high</f>
        <v>-11408000</v>
      </c>
      <c r="Q12" s="80">
        <f t="shared" si="5"/>
        <v>5639762.5555170057</v>
      </c>
      <c r="R12" s="2">
        <f t="shared" ref="R12:R26" si="15">-DLC_cost2*Meters_NonVic*Participation_DLC_low</f>
        <v>-3100000</v>
      </c>
      <c r="S12" s="7">
        <f t="shared" si="6"/>
        <v>0.89097263763831136</v>
      </c>
      <c r="T12" s="3">
        <f t="shared" ref="T12:T26" si="16">S12*(P12+R12)</f>
        <v>-12926231.026856622</v>
      </c>
      <c r="U12" s="12">
        <f t="shared" si="7"/>
        <v>5024874.1197427697</v>
      </c>
      <c r="W12">
        <v>1</v>
      </c>
      <c r="X12" s="77">
        <f t="shared" si="8"/>
        <v>2.0000000000000004E-2</v>
      </c>
      <c r="Y12" s="79">
        <f>(J12-J11)*X$3</f>
        <v>62000</v>
      </c>
      <c r="Z12" s="80">
        <f>-Y12*(Cost_DirectLC_medium)-(Y11+Y12)*Pay_middle</f>
        <v>-21080000</v>
      </c>
      <c r="AA12" s="80">
        <f t="shared" si="9"/>
        <v>25840809.73530288</v>
      </c>
      <c r="AB12" s="2">
        <f t="shared" si="10"/>
        <v>-7750000</v>
      </c>
      <c r="AC12" s="7">
        <f t="shared" si="11"/>
        <v>0.89097263763831136</v>
      </c>
      <c r="AD12" s="3">
        <f t="shared" ref="AD12:AD26" si="17">AC12*(Z12+AB12)</f>
        <v>-25686741.143112518</v>
      </c>
      <c r="AE12" s="12">
        <f t="shared" si="12"/>
        <v>23023454.408572562</v>
      </c>
    </row>
    <row r="13" spans="1:31" x14ac:dyDescent="0.25">
      <c r="A13">
        <v>2</v>
      </c>
      <c r="B13" s="77">
        <f t="shared" si="0"/>
        <v>0.12</v>
      </c>
      <c r="C13" s="77">
        <f>(J13-J12)*Direct_load_control_devices</f>
        <v>247999.99999999994</v>
      </c>
      <c r="D13" s="80">
        <f>-C13*(Cost_DirectLC_low)-(C11+C12+C13)*Pay_low</f>
        <v>-61999999.999999993</v>
      </c>
      <c r="E13" s="3">
        <f t="shared" si="13"/>
        <v>254785582.14161804</v>
      </c>
      <c r="F13" s="79">
        <f t="shared" si="14"/>
        <v>-18600000</v>
      </c>
      <c r="G13" s="7">
        <f t="shared" si="1"/>
        <v>0.82497466447991774</v>
      </c>
      <c r="H13" s="3">
        <f t="shared" si="2"/>
        <v>-66492957.95708137</v>
      </c>
      <c r="I13" s="12">
        <f t="shared" ref="I13:I26" si="18">G13*E13</f>
        <v>210191650.14160186</v>
      </c>
      <c r="J13">
        <v>0.6</v>
      </c>
      <c r="M13">
        <v>2</v>
      </c>
      <c r="N13" s="77">
        <f t="shared" si="4"/>
        <v>1.2E-2</v>
      </c>
      <c r="O13" s="79">
        <f>(J13-J12)*N$3</f>
        <v>24799.999999999993</v>
      </c>
      <c r="P13" s="80">
        <f>-O13*(Cost_DirectLC_high)-(O11+O12+O13)*pay_high</f>
        <v>-13887999.999999998</v>
      </c>
      <c r="Q13" s="80">
        <f t="shared" si="5"/>
        <v>8459643.83327551</v>
      </c>
      <c r="R13" s="2">
        <f t="shared" si="15"/>
        <v>-3100000</v>
      </c>
      <c r="S13" s="7">
        <f t="shared" si="6"/>
        <v>0.82497466447991774</v>
      </c>
      <c r="T13" s="3">
        <f t="shared" si="16"/>
        <v>-14014669.600184843</v>
      </c>
      <c r="U13" s="12">
        <f t="shared" si="7"/>
        <v>6978991.8329760693</v>
      </c>
      <c r="W13">
        <v>2</v>
      </c>
      <c r="X13" s="77">
        <f t="shared" si="8"/>
        <v>0.03</v>
      </c>
      <c r="Y13" s="79">
        <f t="shared" ref="Y13:Y16" si="19">(J13-J12)*X$3</f>
        <v>61999.999999999985</v>
      </c>
      <c r="Z13" s="80">
        <f>-Y13*(Cost_DirectLC_medium)-(Y11+Y12+Y13)*Pay_middle</f>
        <v>-25109999.999999996</v>
      </c>
      <c r="AA13" s="80">
        <f t="shared" si="9"/>
        <v>38761214.602954321</v>
      </c>
      <c r="AB13" s="2">
        <f t="shared" si="10"/>
        <v>-7750000</v>
      </c>
      <c r="AC13" s="7">
        <f t="shared" si="11"/>
        <v>0.82497466447991774</v>
      </c>
      <c r="AD13" s="3">
        <f t="shared" si="17"/>
        <v>-27108667.474810094</v>
      </c>
      <c r="AE13" s="12">
        <f t="shared" si="12"/>
        <v>31977020.01190633</v>
      </c>
    </row>
    <row r="14" spans="1:31" ht="15" customHeight="1" x14ac:dyDescent="0.25">
      <c r="A14">
        <v>3</v>
      </c>
      <c r="B14" s="77">
        <f t="shared" si="0"/>
        <v>0.16000000000000003</v>
      </c>
      <c r="C14" s="77">
        <f>(J14-J13)*Direct_load_control_devices</f>
        <v>248000.00000000009</v>
      </c>
      <c r="D14" s="80">
        <f>-C14*(Cost_DirectLC_low)-(C12+C13+C14)*Pay_low</f>
        <v>-62000000.000000015</v>
      </c>
      <c r="E14" s="80">
        <f t="shared" si="13"/>
        <v>339714109.52215743</v>
      </c>
      <c r="F14" s="79">
        <f t="shared" si="14"/>
        <v>-24800000.000000004</v>
      </c>
      <c r="G14" s="7">
        <f t="shared" si="1"/>
        <v>0.76386543007399788</v>
      </c>
      <c r="H14" s="3">
        <f t="shared" si="2"/>
        <v>-66303519.330423027</v>
      </c>
      <c r="I14" s="12">
        <f t="shared" si="18"/>
        <v>259495864.37234801</v>
      </c>
      <c r="J14">
        <v>0.8</v>
      </c>
      <c r="M14">
        <v>3</v>
      </c>
      <c r="N14" s="77">
        <f t="shared" si="4"/>
        <v>1.6E-2</v>
      </c>
      <c r="O14" s="79">
        <f>(J14-J13)*N$3</f>
        <v>24800.000000000007</v>
      </c>
      <c r="P14" s="80">
        <f>-O14*(Cost_DirectLC_high)-(O12+O13+O14)*pay_high</f>
        <v>-13888000.000000002</v>
      </c>
      <c r="Q14" s="80">
        <f t="shared" si="5"/>
        <v>11279525.111034011</v>
      </c>
      <c r="R14" s="2">
        <f t="shared" si="15"/>
        <v>-3100000</v>
      </c>
      <c r="S14" s="7">
        <f t="shared" si="6"/>
        <v>0.76386543007399788</v>
      </c>
      <c r="T14" s="3">
        <f t="shared" si="16"/>
        <v>-12976545.926097076</v>
      </c>
      <c r="U14" s="12">
        <f t="shared" si="7"/>
        <v>8616039.2999704536</v>
      </c>
      <c r="W14">
        <v>3</v>
      </c>
      <c r="X14" s="77">
        <f t="shared" si="8"/>
        <v>4.0000000000000008E-2</v>
      </c>
      <c r="Y14" s="79">
        <f t="shared" si="19"/>
        <v>62000.000000000022</v>
      </c>
      <c r="Z14" s="80">
        <f>-Y14*(Cost_DirectLC_medium)-(Y12+Y13+Y14)*Pay_middle</f>
        <v>-25110000.000000004</v>
      </c>
      <c r="AA14" s="80">
        <f t="shared" si="9"/>
        <v>51681619.470605761</v>
      </c>
      <c r="AB14" s="2">
        <f t="shared" si="10"/>
        <v>-7750000</v>
      </c>
      <c r="AC14" s="7">
        <f t="shared" si="11"/>
        <v>0.76386543007399788</v>
      </c>
      <c r="AD14" s="3">
        <f t="shared" si="17"/>
        <v>-25100618.032231573</v>
      </c>
      <c r="AE14" s="12">
        <f t="shared" si="12"/>
        <v>39477802.483834974</v>
      </c>
    </row>
    <row r="15" spans="1:31" x14ac:dyDescent="0.25">
      <c r="A15">
        <v>4</v>
      </c>
      <c r="B15" s="77">
        <f t="shared" si="0"/>
        <v>0.18000000000000002</v>
      </c>
      <c r="C15" s="77">
        <f>(J15-J14)*Direct_load_control_devices</f>
        <v>123999.99999999997</v>
      </c>
      <c r="D15" s="80">
        <f>-C15*(Cost_DirectLC_low)-(C13+C14+C15)*Pay_low</f>
        <v>-38440000</v>
      </c>
      <c r="E15" s="80">
        <f t="shared" si="13"/>
        <v>382178373.21242708</v>
      </c>
      <c r="F15" s="79">
        <f t="shared" si="14"/>
        <v>-27900000.000000004</v>
      </c>
      <c r="G15" s="7">
        <f t="shared" si="1"/>
        <v>0.70728280562407209</v>
      </c>
      <c r="H15" s="3">
        <f t="shared" si="2"/>
        <v>-46921141.325100943</v>
      </c>
      <c r="I15" s="12">
        <f t="shared" si="18"/>
        <v>270308192.05452913</v>
      </c>
      <c r="J15">
        <v>0.9</v>
      </c>
      <c r="M15">
        <v>4</v>
      </c>
      <c r="N15" s="77">
        <f t="shared" si="4"/>
        <v>1.8000000000000002E-2</v>
      </c>
      <c r="O15" s="79">
        <f t="shared" ref="O15:O16" si="20">(J15-J14)*N$3</f>
        <v>12399.999999999996</v>
      </c>
      <c r="P15" s="80">
        <f>-(O13+O14+O15)*pay_high</f>
        <v>-6200000</v>
      </c>
      <c r="Q15" s="80">
        <f t="shared" si="5"/>
        <v>12689465.749913264</v>
      </c>
      <c r="R15" s="2">
        <f t="shared" si="15"/>
        <v>-3100000</v>
      </c>
      <c r="S15" s="7">
        <f t="shared" si="6"/>
        <v>0.70728280562407209</v>
      </c>
      <c r="T15" s="3">
        <f t="shared" si="16"/>
        <v>-6577730.0923038702</v>
      </c>
      <c r="U15" s="12">
        <f t="shared" si="7"/>
        <v>8975040.9374692235</v>
      </c>
      <c r="W15">
        <v>4</v>
      </c>
      <c r="X15" s="77">
        <f t="shared" si="8"/>
        <v>4.5000000000000005E-2</v>
      </c>
      <c r="Y15" s="79">
        <f t="shared" si="19"/>
        <v>30999.999999999993</v>
      </c>
      <c r="Z15" s="80">
        <f>-(Y13+Y14+Y15)*Pay_middle</f>
        <v>-10075000</v>
      </c>
      <c r="AA15" s="80">
        <f t="shared" si="9"/>
        <v>58141821.904431485</v>
      </c>
      <c r="AB15" s="2">
        <f t="shared" si="10"/>
        <v>-7750000</v>
      </c>
      <c r="AC15" s="7">
        <f t="shared" si="11"/>
        <v>0.70728280562407209</v>
      </c>
      <c r="AD15" s="3">
        <f t="shared" si="17"/>
        <v>-12607316.010249086</v>
      </c>
      <c r="AE15" s="12">
        <f t="shared" si="12"/>
        <v>41122710.920661427</v>
      </c>
    </row>
    <row r="16" spans="1:31" x14ac:dyDescent="0.25">
      <c r="A16">
        <v>5</v>
      </c>
      <c r="B16" s="77">
        <f t="shared" si="0"/>
        <v>0.2</v>
      </c>
      <c r="C16" s="77">
        <f>(J16-J15)*Direct_load_control_devices</f>
        <v>123999.99999999997</v>
      </c>
      <c r="D16" s="80">
        <f>-C16*(Cost_DirectLC_low)-(C14+C15+C16)*Pay_low</f>
        <v>-34720000</v>
      </c>
      <c r="E16" s="80">
        <f t="shared" si="13"/>
        <v>424642636.90269673</v>
      </c>
      <c r="F16" s="79">
        <f t="shared" si="14"/>
        <v>-31000000</v>
      </c>
      <c r="G16" s="7">
        <f t="shared" si="1"/>
        <v>0.65489148668895558</v>
      </c>
      <c r="H16" s="3">
        <f t="shared" si="2"/>
        <v>-43039468.505198158</v>
      </c>
      <c r="I16" s="12">
        <f t="shared" si="18"/>
        <v>278094847.79272538</v>
      </c>
      <c r="J16">
        <v>1</v>
      </c>
      <c r="M16">
        <v>5</v>
      </c>
      <c r="N16" s="77">
        <f t="shared" si="4"/>
        <v>0.02</v>
      </c>
      <c r="O16" s="79">
        <f t="shared" si="20"/>
        <v>12399.999999999996</v>
      </c>
      <c r="P16" s="80">
        <f>-(O14+O15+O16)*pay_high</f>
        <v>-4960000</v>
      </c>
      <c r="Q16" s="80">
        <f t="shared" si="5"/>
        <v>14099406.388792515</v>
      </c>
      <c r="R16" s="2">
        <f t="shared" si="15"/>
        <v>-3100000</v>
      </c>
      <c r="S16" s="7">
        <f t="shared" si="6"/>
        <v>0.65489148668895558</v>
      </c>
      <c r="T16" s="3">
        <f t="shared" si="16"/>
        <v>-5278425.3827129817</v>
      </c>
      <c r="U16" s="12">
        <f t="shared" si="7"/>
        <v>9233581.2113880888</v>
      </c>
      <c r="W16">
        <v>5</v>
      </c>
      <c r="X16" s="77">
        <f t="shared" si="8"/>
        <v>0.05</v>
      </c>
      <c r="Y16" s="79">
        <f t="shared" si="19"/>
        <v>30999.999999999993</v>
      </c>
      <c r="Z16" s="80">
        <f>-(Y14+Y15+Y16)*Pay_middle</f>
        <v>-8060000</v>
      </c>
      <c r="AA16" s="80">
        <f t="shared" si="9"/>
        <v>64602024.338257201</v>
      </c>
      <c r="AB16" s="2">
        <f t="shared" si="10"/>
        <v>-7750000</v>
      </c>
      <c r="AC16" s="7">
        <f t="shared" si="11"/>
        <v>0.65489148668895558</v>
      </c>
      <c r="AD16" s="3">
        <f t="shared" si="17"/>
        <v>-10353834.404552387</v>
      </c>
      <c r="AE16" s="12">
        <f t="shared" si="12"/>
        <v>42307315.76199735</v>
      </c>
    </row>
    <row r="17" spans="1:31" x14ac:dyDescent="0.25">
      <c r="A17">
        <v>6</v>
      </c>
      <c r="B17" s="77">
        <f t="shared" si="0"/>
        <v>0.19</v>
      </c>
      <c r="C17" s="77"/>
      <c r="D17" s="80">
        <f>-(C15+C16+C17)*Pay_low</f>
        <v>-7439999.9999999981</v>
      </c>
      <c r="E17" s="80">
        <f t="shared" si="13"/>
        <v>403410505.05756187</v>
      </c>
      <c r="F17" s="79">
        <f t="shared" si="14"/>
        <v>-29450000</v>
      </c>
      <c r="G17" s="7">
        <f t="shared" si="1"/>
        <v>0.60638100619347735</v>
      </c>
      <c r="H17" s="3">
        <f t="shared" si="2"/>
        <v>-22369395.318477381</v>
      </c>
      <c r="I17" s="12">
        <f t="shared" si="18"/>
        <v>244620467.96582326</v>
      </c>
      <c r="J17" s="77">
        <v>0.95</v>
      </c>
      <c r="M17">
        <v>6</v>
      </c>
      <c r="N17" s="77">
        <f t="shared" si="4"/>
        <v>1.9E-2</v>
      </c>
      <c r="O17" s="79"/>
      <c r="P17" s="80">
        <f>-(O15+O16+O17)*pay_high</f>
        <v>-2479999.9999999991</v>
      </c>
      <c r="Q17" s="80">
        <f t="shared" si="5"/>
        <v>13394436.069352889</v>
      </c>
      <c r="R17" s="2">
        <f t="shared" si="15"/>
        <v>-3100000</v>
      </c>
      <c r="S17" s="7">
        <f t="shared" si="6"/>
        <v>0.60638100619347735</v>
      </c>
      <c r="T17" s="3">
        <f t="shared" si="16"/>
        <v>-3383606.0145596028</v>
      </c>
      <c r="U17" s="12">
        <f t="shared" si="7"/>
        <v>8122131.621128411</v>
      </c>
      <c r="W17">
        <v>6</v>
      </c>
      <c r="X17" s="77">
        <f t="shared" si="8"/>
        <v>4.7500000000000001E-2</v>
      </c>
      <c r="Y17" s="79"/>
      <c r="Z17" s="80">
        <f>-(Y15+Y16+Y17)*Pay_middle</f>
        <v>-4029999.9999999991</v>
      </c>
      <c r="AA17" s="80">
        <f t="shared" si="9"/>
        <v>61371923.121344335</v>
      </c>
      <c r="AB17" s="2">
        <f t="shared" si="10"/>
        <v>-7750000</v>
      </c>
      <c r="AC17" s="7">
        <f t="shared" si="11"/>
        <v>0.60638100619347735</v>
      </c>
      <c r="AD17" s="3">
        <f t="shared" si="17"/>
        <v>-7143168.2529591629</v>
      </c>
      <c r="AE17" s="12">
        <f t="shared" si="12"/>
        <v>37214768.494349517</v>
      </c>
    </row>
    <row r="18" spans="1:31" x14ac:dyDescent="0.25">
      <c r="A18">
        <v>7</v>
      </c>
      <c r="B18" s="77">
        <f t="shared" si="0"/>
        <v>0.18000000000000002</v>
      </c>
      <c r="D18" s="80">
        <f>-Pay_low*(C18+C17+C16)</f>
        <v>-3719999.9999999991</v>
      </c>
      <c r="E18" s="80">
        <f t="shared" si="13"/>
        <v>382178373.21242708</v>
      </c>
      <c r="F18" s="79">
        <f t="shared" si="14"/>
        <v>-27900000.000000004</v>
      </c>
      <c r="G18" s="7">
        <f t="shared" si="1"/>
        <v>0.56146389462359003</v>
      </c>
      <c r="H18" s="3">
        <f t="shared" si="2"/>
        <v>-17753488.347997919</v>
      </c>
      <c r="I18" s="12">
        <f t="shared" si="18"/>
        <v>214579357.86475721</v>
      </c>
      <c r="J18" s="77">
        <v>0.9</v>
      </c>
      <c r="M18">
        <v>7</v>
      </c>
      <c r="N18" s="77">
        <f t="shared" si="4"/>
        <v>1.8000000000000002E-2</v>
      </c>
      <c r="O18" s="77"/>
      <c r="P18" s="80">
        <f>-(O16+O17+O18)*pay_high</f>
        <v>-1239999.9999999995</v>
      </c>
      <c r="Q18" s="80">
        <f t="shared" si="5"/>
        <v>12689465.749913264</v>
      </c>
      <c r="R18" s="2">
        <f t="shared" si="15"/>
        <v>-3100000</v>
      </c>
      <c r="S18" s="7">
        <f t="shared" si="6"/>
        <v>0.56146389462359003</v>
      </c>
      <c r="T18" s="3">
        <f t="shared" si="16"/>
        <v>-2436753.3026663805</v>
      </c>
      <c r="U18" s="12">
        <f t="shared" si="7"/>
        <v>7124676.8606389556</v>
      </c>
      <c r="W18">
        <v>7</v>
      </c>
      <c r="X18" s="77">
        <f t="shared" si="8"/>
        <v>4.5000000000000005E-2</v>
      </c>
      <c r="Y18" s="79"/>
      <c r="Z18" s="80">
        <f>-(Y16+Y17+Y18)*Pay_middle</f>
        <v>-2014999.9999999995</v>
      </c>
      <c r="AA18" s="80">
        <f t="shared" si="9"/>
        <v>58141821.904431485</v>
      </c>
      <c r="AB18" s="2">
        <f t="shared" si="10"/>
        <v>-7750000</v>
      </c>
      <c r="AC18" s="7">
        <f t="shared" si="11"/>
        <v>0.56146389462359003</v>
      </c>
      <c r="AD18" s="3">
        <f t="shared" si="17"/>
        <v>-5482694.9309993563</v>
      </c>
      <c r="AE18" s="12">
        <f t="shared" si="12"/>
        <v>32644533.766973257</v>
      </c>
    </row>
    <row r="19" spans="1:31" x14ac:dyDescent="0.25">
      <c r="A19">
        <v>8</v>
      </c>
      <c r="B19" s="77">
        <f t="shared" si="0"/>
        <v>0.17</v>
      </c>
      <c r="D19" s="80">
        <v>0</v>
      </c>
      <c r="E19" s="80">
        <f t="shared" si="13"/>
        <v>360946241.36729223</v>
      </c>
      <c r="F19" s="79">
        <f t="shared" si="14"/>
        <v>-26350000</v>
      </c>
      <c r="G19" s="7">
        <f t="shared" si="1"/>
        <v>0.51987397650332412</v>
      </c>
      <c r="H19" s="3">
        <f t="shared" si="2"/>
        <v>-13698679.28086259</v>
      </c>
      <c r="I19" s="12">
        <f t="shared" si="18"/>
        <v>187646557.80354282</v>
      </c>
      <c r="J19" s="77">
        <v>0.85</v>
      </c>
      <c r="M19">
        <v>8</v>
      </c>
      <c r="N19" s="77">
        <f t="shared" si="4"/>
        <v>1.7000000000000001E-2</v>
      </c>
      <c r="O19" s="77"/>
      <c r="P19" s="80">
        <v>0</v>
      </c>
      <c r="Q19" s="80">
        <f t="shared" si="5"/>
        <v>11984495.430473639</v>
      </c>
      <c r="R19" s="2">
        <f t="shared" si="15"/>
        <v>-3100000</v>
      </c>
      <c r="S19" s="7">
        <f t="shared" si="6"/>
        <v>0.51987397650332412</v>
      </c>
      <c r="T19" s="3">
        <f t="shared" si="16"/>
        <v>-1611609.3271603049</v>
      </c>
      <c r="U19" s="12">
        <f t="shared" si="7"/>
        <v>6230427.2958262479</v>
      </c>
      <c r="W19">
        <v>8</v>
      </c>
      <c r="X19" s="77">
        <f t="shared" si="8"/>
        <v>4.2500000000000003E-2</v>
      </c>
      <c r="Z19" s="80">
        <v>0</v>
      </c>
      <c r="AA19" s="80">
        <f t="shared" si="9"/>
        <v>54911720.687518619</v>
      </c>
      <c r="AB19" s="2">
        <f t="shared" si="10"/>
        <v>-7750000</v>
      </c>
      <c r="AC19" s="7">
        <f t="shared" si="11"/>
        <v>0.51987397650332412</v>
      </c>
      <c r="AD19" s="3">
        <f t="shared" si="17"/>
        <v>-4029023.317900762</v>
      </c>
      <c r="AE19" s="12">
        <f t="shared" si="12"/>
        <v>28547174.590460151</v>
      </c>
    </row>
    <row r="20" spans="1:31" x14ac:dyDescent="0.25">
      <c r="A20">
        <v>9</v>
      </c>
      <c r="B20" s="77">
        <f t="shared" si="0"/>
        <v>0.17</v>
      </c>
      <c r="D20" s="3">
        <v>0</v>
      </c>
      <c r="E20" s="80">
        <f t="shared" si="13"/>
        <v>360946241.36729223</v>
      </c>
      <c r="F20" s="79">
        <f t="shared" si="14"/>
        <v>-26350000</v>
      </c>
      <c r="G20" s="7">
        <f t="shared" si="1"/>
        <v>0.48136479305863344</v>
      </c>
      <c r="H20" s="3">
        <f t="shared" si="2"/>
        <v>-12683962.297094991</v>
      </c>
      <c r="I20" s="12">
        <f t="shared" si="18"/>
        <v>173746812.78105819</v>
      </c>
      <c r="J20" s="77">
        <v>0.85</v>
      </c>
      <c r="M20">
        <v>9</v>
      </c>
      <c r="N20" s="77">
        <f t="shared" si="4"/>
        <v>1.7000000000000001E-2</v>
      </c>
      <c r="O20" s="77"/>
      <c r="P20" s="80">
        <v>0</v>
      </c>
      <c r="Q20" s="80">
        <f t="shared" si="5"/>
        <v>11984495.430473639</v>
      </c>
      <c r="R20" s="2">
        <f t="shared" si="15"/>
        <v>-3100000</v>
      </c>
      <c r="S20" s="7">
        <f t="shared" si="6"/>
        <v>0.48136479305863344</v>
      </c>
      <c r="T20" s="3">
        <f t="shared" si="16"/>
        <v>-1492230.8584817636</v>
      </c>
      <c r="U20" s="12">
        <f t="shared" si="7"/>
        <v>5768914.1628020816</v>
      </c>
      <c r="W20">
        <v>9</v>
      </c>
      <c r="X20" s="77">
        <f t="shared" si="8"/>
        <v>4.2500000000000003E-2</v>
      </c>
      <c r="Z20" s="80">
        <v>0</v>
      </c>
      <c r="AA20" s="80">
        <f t="shared" si="9"/>
        <v>54911720.687518619</v>
      </c>
      <c r="AB20" s="2">
        <f t="shared" si="10"/>
        <v>-7750000</v>
      </c>
      <c r="AC20" s="7">
        <f t="shared" si="11"/>
        <v>0.48136479305863344</v>
      </c>
      <c r="AD20" s="3">
        <f t="shared" si="17"/>
        <v>-3730577.1462044092</v>
      </c>
      <c r="AE20" s="12">
        <f t="shared" si="12"/>
        <v>26432569.065240882</v>
      </c>
    </row>
    <row r="21" spans="1:31" x14ac:dyDescent="0.25">
      <c r="A21">
        <v>10</v>
      </c>
      <c r="B21" s="77">
        <f t="shared" si="0"/>
        <v>0.17</v>
      </c>
      <c r="D21" s="3">
        <v>0</v>
      </c>
      <c r="E21" s="80">
        <f t="shared" si="13"/>
        <v>360946241.36729223</v>
      </c>
      <c r="F21" s="79">
        <f t="shared" si="14"/>
        <v>-26350000</v>
      </c>
      <c r="G21" s="7">
        <f t="shared" si="1"/>
        <v>0.44570814172095685</v>
      </c>
      <c r="H21" s="3">
        <f t="shared" si="2"/>
        <v>-11744409.534347214</v>
      </c>
      <c r="I21" s="12">
        <f t="shared" si="18"/>
        <v>160876678.50097978</v>
      </c>
      <c r="J21" s="77">
        <v>0.85</v>
      </c>
      <c r="M21">
        <v>10</v>
      </c>
      <c r="N21" s="77">
        <f t="shared" si="4"/>
        <v>1.7000000000000001E-2</v>
      </c>
      <c r="O21" s="77"/>
      <c r="P21" s="80">
        <v>0</v>
      </c>
      <c r="Q21" s="80">
        <f t="shared" si="5"/>
        <v>11984495.430473639</v>
      </c>
      <c r="R21" s="2">
        <f t="shared" si="15"/>
        <v>-3100000</v>
      </c>
      <c r="S21" s="7">
        <f t="shared" si="6"/>
        <v>0.44570814172095685</v>
      </c>
      <c r="T21" s="3">
        <f t="shared" si="16"/>
        <v>-1381695.2393349663</v>
      </c>
      <c r="U21" s="12">
        <f t="shared" si="7"/>
        <v>5341587.1877797041</v>
      </c>
      <c r="W21">
        <v>10</v>
      </c>
      <c r="X21" s="77">
        <f t="shared" si="8"/>
        <v>4.2500000000000003E-2</v>
      </c>
      <c r="Z21" s="80">
        <v>0</v>
      </c>
      <c r="AA21" s="80">
        <f t="shared" si="9"/>
        <v>54911720.687518619</v>
      </c>
      <c r="AB21" s="2">
        <f t="shared" si="10"/>
        <v>-7750000</v>
      </c>
      <c r="AC21" s="7">
        <f t="shared" si="11"/>
        <v>0.44570814172095685</v>
      </c>
      <c r="AD21" s="3">
        <f t="shared" si="17"/>
        <v>-3454238.0983374156</v>
      </c>
      <c r="AE21" s="12">
        <f t="shared" si="12"/>
        <v>24474600.986334145</v>
      </c>
    </row>
    <row r="22" spans="1:31" x14ac:dyDescent="0.25">
      <c r="A22">
        <v>11</v>
      </c>
      <c r="B22" s="77">
        <f t="shared" si="0"/>
        <v>0.17</v>
      </c>
      <c r="D22" s="3">
        <v>0</v>
      </c>
      <c r="E22" s="80">
        <f t="shared" si="13"/>
        <v>360946241.36729223</v>
      </c>
      <c r="F22" s="79">
        <f t="shared" si="14"/>
        <v>-26350000</v>
      </c>
      <c r="G22" s="7">
        <f t="shared" si="1"/>
        <v>0.41269272381570077</v>
      </c>
      <c r="H22" s="3">
        <f t="shared" si="2"/>
        <v>-10874453.272543715</v>
      </c>
      <c r="I22" s="12">
        <f t="shared" si="18"/>
        <v>148959887.50090721</v>
      </c>
      <c r="J22" s="77">
        <v>0.85</v>
      </c>
      <c r="M22">
        <v>11</v>
      </c>
      <c r="N22" s="77">
        <f t="shared" si="4"/>
        <v>1.7000000000000001E-2</v>
      </c>
      <c r="O22" s="77"/>
      <c r="P22" s="80">
        <v>0</v>
      </c>
      <c r="Q22" s="80">
        <f t="shared" si="5"/>
        <v>11984495.430473639</v>
      </c>
      <c r="R22" s="2">
        <f t="shared" si="15"/>
        <v>-3100000</v>
      </c>
      <c r="S22" s="7">
        <f t="shared" si="6"/>
        <v>0.41269272381570077</v>
      </c>
      <c r="T22" s="3">
        <f t="shared" si="16"/>
        <v>-1279347.4438286724</v>
      </c>
      <c r="U22" s="12">
        <f t="shared" si="7"/>
        <v>4945914.062758985</v>
      </c>
      <c r="W22">
        <v>11</v>
      </c>
      <c r="X22" s="77">
        <f t="shared" si="8"/>
        <v>4.2500000000000003E-2</v>
      </c>
      <c r="Z22" s="80">
        <v>0</v>
      </c>
      <c r="AA22" s="80">
        <f t="shared" si="9"/>
        <v>54911720.687518619</v>
      </c>
      <c r="AB22" s="2">
        <f t="shared" si="10"/>
        <v>-7750000</v>
      </c>
      <c r="AC22" s="7">
        <f t="shared" si="11"/>
        <v>0.41269272381570077</v>
      </c>
      <c r="AD22" s="3">
        <f t="shared" si="17"/>
        <v>-3198368.6095716809</v>
      </c>
      <c r="AE22" s="12">
        <f t="shared" si="12"/>
        <v>22661667.579939023</v>
      </c>
    </row>
    <row r="23" spans="1:31" x14ac:dyDescent="0.25">
      <c r="A23">
        <v>12</v>
      </c>
      <c r="B23" s="77">
        <f t="shared" si="0"/>
        <v>0.17</v>
      </c>
      <c r="D23" s="3">
        <v>0</v>
      </c>
      <c r="E23" s="80">
        <f t="shared" si="13"/>
        <v>360946241.36729223</v>
      </c>
      <c r="F23" s="79">
        <f t="shared" si="14"/>
        <v>-26350000</v>
      </c>
      <c r="G23" s="7">
        <f t="shared" si="1"/>
        <v>0.38212289242194514</v>
      </c>
      <c r="H23" s="3">
        <f t="shared" si="2"/>
        <v>-10068938.215318255</v>
      </c>
      <c r="I23" s="12">
        <f t="shared" si="18"/>
        <v>137925821.76009926</v>
      </c>
      <c r="J23" s="77">
        <v>0.85</v>
      </c>
      <c r="M23">
        <v>12</v>
      </c>
      <c r="N23" s="77">
        <f t="shared" si="4"/>
        <v>1.7000000000000001E-2</v>
      </c>
      <c r="O23" s="77"/>
      <c r="P23" s="80">
        <v>0</v>
      </c>
      <c r="Q23" s="80">
        <f t="shared" si="5"/>
        <v>11984495.430473639</v>
      </c>
      <c r="R23" s="2">
        <f t="shared" si="15"/>
        <v>-3100000</v>
      </c>
      <c r="S23" s="7">
        <f t="shared" si="6"/>
        <v>0.38212289242194514</v>
      </c>
      <c r="T23" s="3">
        <f t="shared" si="16"/>
        <v>-1184580.96650803</v>
      </c>
      <c r="U23" s="12">
        <f t="shared" si="7"/>
        <v>4579550.058110171</v>
      </c>
      <c r="W23">
        <v>12</v>
      </c>
      <c r="X23" s="77">
        <f t="shared" si="8"/>
        <v>4.2500000000000003E-2</v>
      </c>
      <c r="Z23" s="80">
        <v>0</v>
      </c>
      <c r="AA23" s="80">
        <f t="shared" si="9"/>
        <v>54911720.687518619</v>
      </c>
      <c r="AB23" s="2">
        <f t="shared" si="10"/>
        <v>-7750000</v>
      </c>
      <c r="AC23" s="7">
        <f t="shared" si="11"/>
        <v>0.38212289242194514</v>
      </c>
      <c r="AD23" s="3">
        <f t="shared" si="17"/>
        <v>-2961452.4162700749</v>
      </c>
      <c r="AE23" s="12">
        <f t="shared" si="12"/>
        <v>20983025.536980577</v>
      </c>
    </row>
    <row r="24" spans="1:31" x14ac:dyDescent="0.25">
      <c r="A24">
        <v>13</v>
      </c>
      <c r="B24" s="77">
        <f t="shared" si="0"/>
        <v>0.17</v>
      </c>
      <c r="D24" s="3">
        <v>0</v>
      </c>
      <c r="E24" s="80">
        <f t="shared" si="13"/>
        <v>360946241.36729223</v>
      </c>
      <c r="F24" s="79">
        <f t="shared" si="14"/>
        <v>-26350000</v>
      </c>
      <c r="G24" s="7">
        <f t="shared" si="1"/>
        <v>0.35381749298328247</v>
      </c>
      <c r="H24" s="3">
        <f t="shared" si="2"/>
        <v>-9323090.9401094932</v>
      </c>
      <c r="I24" s="12">
        <f t="shared" si="18"/>
        <v>127709094.22231409</v>
      </c>
      <c r="J24" s="77">
        <v>0.85</v>
      </c>
      <c r="M24">
        <v>13</v>
      </c>
      <c r="N24" s="77">
        <f t="shared" si="4"/>
        <v>1.7000000000000001E-2</v>
      </c>
      <c r="O24" s="77"/>
      <c r="P24" s="80">
        <v>0</v>
      </c>
      <c r="Q24" s="80">
        <f t="shared" si="5"/>
        <v>11984495.430473639</v>
      </c>
      <c r="R24" s="2">
        <f t="shared" si="15"/>
        <v>-3100000</v>
      </c>
      <c r="S24" s="7">
        <f t="shared" si="6"/>
        <v>0.35381749298328247</v>
      </c>
      <c r="T24" s="3">
        <f t="shared" si="16"/>
        <v>-1096834.2282481757</v>
      </c>
      <c r="U24" s="12">
        <f t="shared" si="7"/>
        <v>4240324.1278797872</v>
      </c>
      <c r="W24">
        <v>13</v>
      </c>
      <c r="X24" s="77">
        <f t="shared" si="8"/>
        <v>4.2500000000000003E-2</v>
      </c>
      <c r="Z24" s="80">
        <v>0</v>
      </c>
      <c r="AA24" s="80">
        <f t="shared" si="9"/>
        <v>54911720.687518619</v>
      </c>
      <c r="AB24" s="2">
        <f t="shared" si="10"/>
        <v>-7750000</v>
      </c>
      <c r="AC24" s="7">
        <f t="shared" si="11"/>
        <v>0.35381749298328247</v>
      </c>
      <c r="AD24" s="3">
        <f t="shared" si="17"/>
        <v>-2742085.570620439</v>
      </c>
      <c r="AE24" s="12">
        <f t="shared" si="12"/>
        <v>19428727.349056087</v>
      </c>
    </row>
    <row r="25" spans="1:31" x14ac:dyDescent="0.25">
      <c r="A25">
        <v>14</v>
      </c>
      <c r="B25" s="77">
        <f t="shared" si="0"/>
        <v>0.17</v>
      </c>
      <c r="D25" s="3">
        <v>0</v>
      </c>
      <c r="E25" s="80">
        <f t="shared" si="13"/>
        <v>360946241.36729223</v>
      </c>
      <c r="F25" s="79">
        <f t="shared" si="14"/>
        <v>-26350000</v>
      </c>
      <c r="G25" s="7">
        <f t="shared" si="1"/>
        <v>0.32760878979933561</v>
      </c>
      <c r="H25" s="3">
        <f t="shared" si="2"/>
        <v>-8632491.6112124939</v>
      </c>
      <c r="I25" s="12">
        <f t="shared" si="18"/>
        <v>118249161.31695749</v>
      </c>
      <c r="J25" s="77">
        <v>0.85</v>
      </c>
      <c r="M25">
        <v>14</v>
      </c>
      <c r="N25" s="77">
        <f t="shared" si="4"/>
        <v>1.7000000000000001E-2</v>
      </c>
      <c r="O25" s="77"/>
      <c r="P25" s="80">
        <v>0</v>
      </c>
      <c r="Q25" s="80">
        <f t="shared" si="5"/>
        <v>11984495.430473639</v>
      </c>
      <c r="R25" s="2">
        <f t="shared" si="15"/>
        <v>-3100000</v>
      </c>
      <c r="S25" s="7">
        <f t="shared" si="6"/>
        <v>0.32760878979933561</v>
      </c>
      <c r="T25" s="3">
        <f t="shared" si="16"/>
        <v>-1015587.2483779404</v>
      </c>
      <c r="U25" s="12">
        <f t="shared" si="7"/>
        <v>3926226.0443331366</v>
      </c>
      <c r="W25">
        <v>14</v>
      </c>
      <c r="X25" s="77">
        <f t="shared" si="8"/>
        <v>4.2500000000000003E-2</v>
      </c>
      <c r="Z25" s="80">
        <v>0</v>
      </c>
      <c r="AA25" s="80">
        <f t="shared" si="9"/>
        <v>54911720.687518619</v>
      </c>
      <c r="AB25" s="2">
        <f t="shared" si="10"/>
        <v>-7750000</v>
      </c>
      <c r="AC25" s="7">
        <f t="shared" si="11"/>
        <v>0.32760878979933561</v>
      </c>
      <c r="AD25" s="3">
        <f t="shared" si="17"/>
        <v>-2538968.1209448511</v>
      </c>
      <c r="AE25" s="12">
        <f t="shared" si="12"/>
        <v>17989562.360237114</v>
      </c>
    </row>
    <row r="26" spans="1:31" x14ac:dyDescent="0.25">
      <c r="A26">
        <v>15</v>
      </c>
      <c r="B26" s="77">
        <f t="shared" si="0"/>
        <v>0.17</v>
      </c>
      <c r="D26" s="3">
        <v>0</v>
      </c>
      <c r="E26" s="80">
        <f t="shared" si="13"/>
        <v>360946241.36729223</v>
      </c>
      <c r="F26" s="79">
        <f t="shared" si="14"/>
        <v>-26350000</v>
      </c>
      <c r="G26" s="7">
        <f t="shared" si="1"/>
        <v>0.30334147203642187</v>
      </c>
      <c r="H26" s="3">
        <f t="shared" si="2"/>
        <v>-7993047.7881597159</v>
      </c>
      <c r="I26" s="12">
        <f t="shared" si="18"/>
        <v>109489964.18236805</v>
      </c>
      <c r="J26" s="77">
        <v>0.85</v>
      </c>
      <c r="M26">
        <v>15</v>
      </c>
      <c r="N26" s="77">
        <f t="shared" si="4"/>
        <v>1.7000000000000001E-2</v>
      </c>
      <c r="O26" s="77"/>
      <c r="P26" s="80">
        <v>0</v>
      </c>
      <c r="Q26" s="80">
        <f t="shared" si="5"/>
        <v>11984495.430473639</v>
      </c>
      <c r="R26" s="2">
        <f t="shared" si="15"/>
        <v>-3100000</v>
      </c>
      <c r="S26" s="7">
        <f t="shared" si="6"/>
        <v>0.30334147203642187</v>
      </c>
      <c r="T26" s="3">
        <f t="shared" si="16"/>
        <v>-940358.56331290782</v>
      </c>
      <c r="U26" s="12">
        <f t="shared" si="7"/>
        <v>3635394.4854936451</v>
      </c>
      <c r="W26">
        <v>15</v>
      </c>
      <c r="X26" s="77">
        <f t="shared" si="8"/>
        <v>4.2500000000000003E-2</v>
      </c>
      <c r="Z26" s="80">
        <v>0</v>
      </c>
      <c r="AA26" s="80">
        <f t="shared" si="9"/>
        <v>54911720.687518619</v>
      </c>
      <c r="AB26" s="2">
        <f t="shared" si="10"/>
        <v>-7750000</v>
      </c>
      <c r="AC26" s="7">
        <f t="shared" si="11"/>
        <v>0.30334147203642187</v>
      </c>
      <c r="AD26" s="3">
        <f t="shared" si="17"/>
        <v>-2350896.4082822693</v>
      </c>
      <c r="AE26" s="12">
        <f t="shared" si="12"/>
        <v>16657002.185404737</v>
      </c>
    </row>
    <row r="28" spans="1:31" x14ac:dyDescent="0.25">
      <c r="E28" s="17"/>
      <c r="H28" t="s">
        <v>90</v>
      </c>
      <c r="I28" s="12">
        <f>SUM(H11:H26)</f>
        <v>-458865765.4621734</v>
      </c>
      <c r="P28" t="s">
        <v>75</v>
      </c>
      <c r="Q28" s="7">
        <f>(Q12/savings_low/1000)/N4*100</f>
        <v>6</v>
      </c>
      <c r="T28" t="s">
        <v>90</v>
      </c>
      <c r="U28" s="12">
        <f>SUM(T11:T26)</f>
        <v>-79170153.616988838</v>
      </c>
      <c r="AA28" s="17"/>
      <c r="AD28" t="s">
        <v>90</v>
      </c>
      <c r="AE28" s="12">
        <f>SUM(AD11:AD26)</f>
        <v>-162352461.06355062</v>
      </c>
    </row>
    <row r="29" spans="1:31" x14ac:dyDescent="0.25">
      <c r="D29" s="16"/>
      <c r="E29" s="16"/>
      <c r="F29" s="16"/>
      <c r="H29" t="s">
        <v>91</v>
      </c>
      <c r="I29" s="12">
        <f>SUM(I11:I26)</f>
        <v>2874954859.9370203</v>
      </c>
      <c r="T29" t="s">
        <v>91</v>
      </c>
      <c r="U29" s="12">
        <f>SUM(U11:U26)</f>
        <v>95457105.332958817</v>
      </c>
      <c r="AD29" t="s">
        <v>91</v>
      </c>
      <c r="AE29" s="12">
        <f>SUM(AE11:AE26)</f>
        <v>437374600.88257718</v>
      </c>
    </row>
    <row r="30" spans="1:31" x14ac:dyDescent="0.25">
      <c r="H30" s="1" t="s">
        <v>12</v>
      </c>
      <c r="I30" s="2">
        <f>SUM(H11:I26)</f>
        <v>2416089094.4748459</v>
      </c>
      <c r="Q30" s="12"/>
      <c r="T30" s="1" t="s">
        <v>12</v>
      </c>
      <c r="U30" s="2">
        <f>SUM(T11:U26)</f>
        <v>16286951.715969993</v>
      </c>
      <c r="AD30" s="1" t="s">
        <v>12</v>
      </c>
      <c r="AE30" s="2">
        <f>SUM(AD11:AE26)</f>
        <v>275022139.81902665</v>
      </c>
    </row>
    <row r="31" spans="1:31" x14ac:dyDescent="0.25">
      <c r="A31" s="46"/>
      <c r="H31" s="1" t="s">
        <v>13</v>
      </c>
      <c r="I31" s="9">
        <f>-SUM(I11:I26)/SUM(H11:H26)</f>
        <v>6.2653505149623481</v>
      </c>
      <c r="T31" s="1" t="s">
        <v>13</v>
      </c>
      <c r="U31" s="9">
        <f>-SUM(U11:U26)/SUM(T11:T26)</f>
        <v>1.2057208552955874</v>
      </c>
      <c r="AD31" s="1" t="s">
        <v>13</v>
      </c>
      <c r="AE31" s="9">
        <f>-SUM(AE11:AE26)/SUM(AD11:AD26)</f>
        <v>2.6939819576333552</v>
      </c>
    </row>
    <row r="33" spans="1:24" x14ac:dyDescent="0.25">
      <c r="H33" s="22"/>
    </row>
    <row r="34" spans="1:24" ht="24" thickBot="1" x14ac:dyDescent="0.4">
      <c r="A34" s="10" t="s">
        <v>113</v>
      </c>
      <c r="X34" s="1"/>
    </row>
    <row r="35" spans="1:24" ht="15.75" thickBot="1" x14ac:dyDescent="0.3">
      <c r="A35" s="27"/>
      <c r="B35" s="28" t="s">
        <v>44</v>
      </c>
      <c r="C35" s="28" t="s">
        <v>45</v>
      </c>
      <c r="D35" s="28" t="s">
        <v>46</v>
      </c>
      <c r="E35" s="28" t="s">
        <v>47</v>
      </c>
      <c r="X35" s="1"/>
    </row>
    <row r="36" spans="1:24" x14ac:dyDescent="0.25">
      <c r="A36" s="29" t="s">
        <v>70</v>
      </c>
      <c r="B36" s="30" t="s">
        <v>49</v>
      </c>
      <c r="C36">
        <f>Meters_NonVic*Participation_DLC_low</f>
        <v>124000</v>
      </c>
      <c r="D36" s="37">
        <f>Meters_NonVic*Participation_DLC_medium</f>
        <v>310000</v>
      </c>
      <c r="E36" s="37">
        <f>Meters_NonVic*Participation_DLC_high</f>
        <v>1240000</v>
      </c>
    </row>
    <row r="37" spans="1:24" x14ac:dyDescent="0.25">
      <c r="A37" s="29" t="s">
        <v>50</v>
      </c>
      <c r="B37" s="30" t="s">
        <v>51</v>
      </c>
      <c r="C37" s="20">
        <f>PeakD_nonVic_min*0.3*0.022</f>
        <v>76.22999999999999</v>
      </c>
      <c r="D37" s="20">
        <f>C37*1.2</f>
        <v>91.475999999999985</v>
      </c>
      <c r="E37" s="20">
        <f>PeakD_nonVic_max*0.3</f>
        <v>4455</v>
      </c>
    </row>
    <row r="38" spans="1:24" x14ac:dyDescent="0.25">
      <c r="A38" s="29" t="s">
        <v>52</v>
      </c>
      <c r="B38" s="30" t="s">
        <v>53</v>
      </c>
      <c r="C38" s="36">
        <f>Cost_DirectLC_high</f>
        <v>260</v>
      </c>
      <c r="D38" s="36">
        <f>Cost_DirectLC_medium</f>
        <v>210</v>
      </c>
      <c r="E38" s="36">
        <f>Cost_DirectLC_low</f>
        <v>160</v>
      </c>
    </row>
    <row r="39" spans="1:24" ht="39.75" customHeight="1" x14ac:dyDescent="0.25">
      <c r="A39" s="29" t="s">
        <v>55</v>
      </c>
      <c r="B39" s="234" t="s">
        <v>246</v>
      </c>
      <c r="C39" s="231"/>
      <c r="D39" s="231"/>
      <c r="E39" s="231"/>
    </row>
    <row r="40" spans="1:24" x14ac:dyDescent="0.25">
      <c r="A40" s="29" t="s">
        <v>57</v>
      </c>
      <c r="B40" s="30" t="s">
        <v>58</v>
      </c>
      <c r="C40" s="30">
        <f>DLC_cost2</f>
        <v>25</v>
      </c>
      <c r="D40" s="30">
        <f>DLC_cost2</f>
        <v>25</v>
      </c>
      <c r="E40" s="30">
        <f>DLC_cost2</f>
        <v>25</v>
      </c>
    </row>
    <row r="41" spans="1:24" ht="25.5" x14ac:dyDescent="0.25">
      <c r="A41" s="29" t="s">
        <v>59</v>
      </c>
      <c r="B41" s="123" t="s">
        <v>244</v>
      </c>
      <c r="C41" s="38">
        <f>savings_low</f>
        <v>271.27285019321818</v>
      </c>
      <c r="D41" s="38">
        <f>savings_medium</f>
        <v>326.27285019321818</v>
      </c>
      <c r="E41" s="38">
        <f>savings_high</f>
        <v>381.27285019321818</v>
      </c>
    </row>
    <row r="42" spans="1:24" ht="25.5" x14ac:dyDescent="0.25">
      <c r="A42" s="29" t="s">
        <v>60</v>
      </c>
      <c r="B42" s="30" t="s">
        <v>61</v>
      </c>
      <c r="C42" s="20">
        <f>DLC_response_low</f>
        <v>15</v>
      </c>
      <c r="D42" s="20">
        <f>DLC_response_medium</f>
        <v>20</v>
      </c>
      <c r="E42" s="20">
        <f>DLC_response_high</f>
        <v>25</v>
      </c>
    </row>
    <row r="43" spans="1:24" ht="51.75" customHeight="1" x14ac:dyDescent="0.25">
      <c r="A43" s="29" t="s">
        <v>62</v>
      </c>
      <c r="B43" s="234" t="s">
        <v>247</v>
      </c>
      <c r="C43" s="231"/>
      <c r="D43" s="231"/>
      <c r="E43" s="231"/>
    </row>
    <row r="44" spans="1:24" x14ac:dyDescent="0.25">
      <c r="A44" s="29" t="s">
        <v>64</v>
      </c>
      <c r="B44" s="30" t="s">
        <v>65</v>
      </c>
      <c r="C44" s="30">
        <f>discount_rate</f>
        <v>8</v>
      </c>
      <c r="D44" s="30">
        <f>discount_rate</f>
        <v>8</v>
      </c>
      <c r="E44" s="30">
        <f>discount_rate</f>
        <v>8</v>
      </c>
    </row>
    <row r="45" spans="1:24" x14ac:dyDescent="0.25">
      <c r="A45" s="29" t="s">
        <v>6</v>
      </c>
      <c r="B45" s="30" t="s">
        <v>66</v>
      </c>
      <c r="C45" s="44">
        <f>-U28/1000000</f>
        <v>79.170153616988841</v>
      </c>
      <c r="D45" s="44">
        <f>(-AE28/1000000)</f>
        <v>162.35246106355063</v>
      </c>
      <c r="E45" s="44">
        <f>-I28/1000000</f>
        <v>458.86576546217339</v>
      </c>
    </row>
    <row r="46" spans="1:24" x14ac:dyDescent="0.25">
      <c r="A46" s="29" t="s">
        <v>5</v>
      </c>
      <c r="B46" s="30" t="s">
        <v>66</v>
      </c>
      <c r="C46" s="44">
        <f>U29/1000000</f>
        <v>95.457105332958818</v>
      </c>
      <c r="D46" s="44">
        <f>AE29/1000000</f>
        <v>437.37460088257717</v>
      </c>
      <c r="E46" s="20">
        <f>I29/1000000</f>
        <v>2874.9548599370205</v>
      </c>
    </row>
    <row r="47" spans="1:24" x14ac:dyDescent="0.25">
      <c r="A47" s="29" t="s">
        <v>12</v>
      </c>
      <c r="B47" s="30" t="s">
        <v>66</v>
      </c>
      <c r="C47" s="44">
        <f>C46-C45</f>
        <v>16.286951715969977</v>
      </c>
      <c r="D47" s="44">
        <f t="shared" ref="D47:E47" si="21">D46-D45</f>
        <v>275.02213981902651</v>
      </c>
      <c r="E47" s="20">
        <f t="shared" si="21"/>
        <v>2416.0890944748471</v>
      </c>
    </row>
    <row r="48" spans="1:24" x14ac:dyDescent="0.25">
      <c r="A48" s="31" t="s">
        <v>67</v>
      </c>
      <c r="B48" s="32" t="s">
        <v>68</v>
      </c>
      <c r="C48" s="40">
        <f>C47/C36*1000000</f>
        <v>131.34638480620947</v>
      </c>
      <c r="D48" s="40">
        <f>D47/D36*1000000</f>
        <v>887.16819296460164</v>
      </c>
      <c r="E48" s="40">
        <f>E47/E36*1000000</f>
        <v>1948.4589471571348</v>
      </c>
    </row>
    <row r="49" spans="1:5" ht="15.75" thickBot="1" x14ac:dyDescent="0.3">
      <c r="A49" s="33" t="s">
        <v>21</v>
      </c>
      <c r="B49" s="34" t="s">
        <v>69</v>
      </c>
      <c r="C49" s="39">
        <f>C46/C45</f>
        <v>1.2057208552955874</v>
      </c>
      <c r="D49" s="39">
        <f t="shared" ref="D49:E49" si="22">D46/D45</f>
        <v>2.6939819576333548</v>
      </c>
      <c r="E49" s="39">
        <f t="shared" si="22"/>
        <v>6.265350514962349</v>
      </c>
    </row>
    <row r="50" spans="1:5" x14ac:dyDescent="0.25">
      <c r="A50" s="50" t="s">
        <v>87</v>
      </c>
      <c r="B50" s="51" t="s">
        <v>88</v>
      </c>
      <c r="C50" s="3">
        <f>(C48*discount_rate/100)/((1+discount_rate/100)^0.5-1/(1+discount_rate/100)^15.5)</f>
        <v>14.278934195157214</v>
      </c>
      <c r="D50" s="3">
        <f>(D48*discount_rate/100)/((1+discount_rate/100)^0.5-1/(1+discount_rate/100)^15.5)</f>
        <v>96.445869188317431</v>
      </c>
      <c r="E50" s="3">
        <f>(E48*discount_rate/100)/((1+discount_rate/100)^0.5-1/(1+discount_rate/100)^15.5)</f>
        <v>211.8209582202885</v>
      </c>
    </row>
    <row r="51" spans="1:5" x14ac:dyDescent="0.25">
      <c r="A51" s="56"/>
      <c r="B51" s="56"/>
      <c r="C51" s="56"/>
      <c r="D51" s="56" t="s">
        <v>95</v>
      </c>
      <c r="E51" s="56" t="s">
        <v>96</v>
      </c>
    </row>
    <row r="52" spans="1:5" x14ac:dyDescent="0.25">
      <c r="A52" s="57" t="s">
        <v>98</v>
      </c>
      <c r="B52" s="55"/>
      <c r="C52" s="55"/>
      <c r="D52" s="53">
        <f>_xlfn.BETA.INV(0.25,B62,B63,C48,E48)</f>
        <v>569.39046496557239</v>
      </c>
      <c r="E52" s="53">
        <f>_xlfn.BETA.INV(0.75,B62,B63,C48,E48)</f>
        <v>1235.0990473141303</v>
      </c>
    </row>
    <row r="53" spans="1:5" ht="25.5" x14ac:dyDescent="0.25">
      <c r="A53" s="57" t="s">
        <v>216</v>
      </c>
      <c r="B53" s="55"/>
      <c r="C53" s="55"/>
      <c r="D53" s="53">
        <f>MROUND((D52*discount_rate/100)/((1+discount_rate/100)^0.5-1/(1+discount_rate/100)^14.5),5)</f>
        <v>65</v>
      </c>
      <c r="E53" s="53">
        <f>MROUND((E52*discount_rate/100)/((1+discount_rate/100)^0.5-1/(1+discount_rate/100)^14.5),5)</f>
        <v>140</v>
      </c>
    </row>
    <row r="55" spans="1:5" x14ac:dyDescent="0.25">
      <c r="A55" s="50"/>
      <c r="B55" s="51"/>
      <c r="C55" s="3"/>
      <c r="D55" s="76"/>
    </row>
    <row r="56" spans="1:5" ht="31.5" customHeight="1" x14ac:dyDescent="0.25">
      <c r="A56" s="50"/>
    </row>
    <row r="57" spans="1:5" x14ac:dyDescent="0.25">
      <c r="A57" s="50"/>
    </row>
    <row r="59" spans="1:5" x14ac:dyDescent="0.25">
      <c r="A59" s="1" t="s">
        <v>97</v>
      </c>
    </row>
    <row r="60" spans="1:5" ht="30.75" customHeight="1" x14ac:dyDescent="0.25">
      <c r="A60" s="54" t="s">
        <v>115</v>
      </c>
      <c r="B60" s="58">
        <f>_xlfn.BETA.INV(0.5,B62,B63,$C$48,$E$48)</f>
        <v>887.16829885232403</v>
      </c>
    </row>
    <row r="61" spans="1:5" x14ac:dyDescent="0.25">
      <c r="A61" s="54" t="s">
        <v>94</v>
      </c>
      <c r="B61" s="62">
        <f>_xlfn.BETA.INV(0.75,B62,B63,C48,E48)</f>
        <v>1235.0990473141303</v>
      </c>
    </row>
    <row r="62" spans="1:5" x14ac:dyDescent="0.25">
      <c r="A62" s="54" t="s">
        <v>92</v>
      </c>
      <c r="B62" s="59">
        <v>1.511535777766384</v>
      </c>
    </row>
    <row r="63" spans="1:5" x14ac:dyDescent="0.25">
      <c r="A63" s="54" t="s">
        <v>93</v>
      </c>
      <c r="B63" s="59">
        <v>2</v>
      </c>
    </row>
    <row r="64" spans="1:5" x14ac:dyDescent="0.25">
      <c r="A64" s="54" t="s">
        <v>100</v>
      </c>
      <c r="B64" s="61">
        <f>(B60-D48)^2</f>
        <v>1.1212209751685494E-8</v>
      </c>
    </row>
  </sheetData>
  <mergeCells count="2">
    <mergeCell ref="B39:E39"/>
    <mergeCell ref="B43:E43"/>
  </mergeCells>
  <hyperlinks>
    <hyperlink ref="F1" location="Contents!A1" display="Back to the Contents of this spreadsheet"/>
  </hyperlinks>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K29"/>
  <sheetViews>
    <sheetView workbookViewId="0">
      <selection activeCell="F50" sqref="F50"/>
    </sheetView>
  </sheetViews>
  <sheetFormatPr defaultRowHeight="15" x14ac:dyDescent="0.25"/>
  <cols>
    <col min="1" max="1" width="47.7109375" bestFit="1" customWidth="1"/>
    <col min="2" max="2" width="10.5703125" bestFit="1" customWidth="1"/>
  </cols>
  <sheetData>
    <row r="1" spans="1:11" x14ac:dyDescent="0.25">
      <c r="F1" s="223" t="s">
        <v>389</v>
      </c>
    </row>
    <row r="2" spans="1:11" x14ac:dyDescent="0.25">
      <c r="A2" s="1" t="s">
        <v>0</v>
      </c>
      <c r="B2">
        <v>0</v>
      </c>
      <c r="C2">
        <v>1</v>
      </c>
      <c r="D2">
        <v>2</v>
      </c>
      <c r="E2">
        <v>3</v>
      </c>
      <c r="F2">
        <v>4</v>
      </c>
      <c r="G2">
        <v>5</v>
      </c>
      <c r="H2">
        <v>6</v>
      </c>
      <c r="I2">
        <v>7</v>
      </c>
      <c r="J2">
        <v>8</v>
      </c>
      <c r="K2">
        <v>9</v>
      </c>
    </row>
    <row r="3" spans="1:11" x14ac:dyDescent="0.25">
      <c r="A3" s="1" t="s">
        <v>101</v>
      </c>
      <c r="B3">
        <v>2</v>
      </c>
      <c r="C3">
        <v>2</v>
      </c>
      <c r="D3">
        <v>2</v>
      </c>
      <c r="E3">
        <v>2</v>
      </c>
      <c r="F3">
        <v>2</v>
      </c>
      <c r="G3">
        <v>2</v>
      </c>
      <c r="H3">
        <v>2</v>
      </c>
      <c r="I3">
        <v>2</v>
      </c>
      <c r="J3">
        <v>2</v>
      </c>
      <c r="K3">
        <v>2</v>
      </c>
    </row>
    <row r="4" spans="1:11" x14ac:dyDescent="0.25">
      <c r="A4" s="1" t="s">
        <v>264</v>
      </c>
      <c r="B4">
        <f>B3*peak_use_rate*power_rate</f>
        <v>1.1475</v>
      </c>
      <c r="C4">
        <f t="shared" ref="C4:K4" si="0">C3*peak_use_rate*power_rate</f>
        <v>1.1475</v>
      </c>
      <c r="D4">
        <f t="shared" si="0"/>
        <v>1.1475</v>
      </c>
      <c r="E4">
        <f t="shared" si="0"/>
        <v>1.1475</v>
      </c>
      <c r="F4">
        <f t="shared" si="0"/>
        <v>1.1475</v>
      </c>
      <c r="G4">
        <f t="shared" si="0"/>
        <v>1.1475</v>
      </c>
      <c r="H4">
        <f t="shared" si="0"/>
        <v>1.1475</v>
      </c>
      <c r="I4">
        <f t="shared" si="0"/>
        <v>1.1475</v>
      </c>
      <c r="J4">
        <f t="shared" si="0"/>
        <v>1.1475</v>
      </c>
      <c r="K4">
        <f t="shared" si="0"/>
        <v>1.1475</v>
      </c>
    </row>
    <row r="5" spans="1:11" s="77" customFormat="1" x14ac:dyDescent="0.25">
      <c r="A5" s="78" t="s">
        <v>259</v>
      </c>
      <c r="B5" s="77">
        <f t="shared" ref="B5:K5" si="1">savings_medium*B4</f>
        <v>374.39809559671784</v>
      </c>
      <c r="C5" s="77">
        <f t="shared" si="1"/>
        <v>374.39809559671784</v>
      </c>
      <c r="D5" s="77">
        <f t="shared" si="1"/>
        <v>374.39809559671784</v>
      </c>
      <c r="E5" s="77">
        <f t="shared" si="1"/>
        <v>374.39809559671784</v>
      </c>
      <c r="F5" s="77">
        <f t="shared" si="1"/>
        <v>374.39809559671784</v>
      </c>
      <c r="G5" s="77">
        <f t="shared" si="1"/>
        <v>374.39809559671784</v>
      </c>
      <c r="H5" s="77">
        <f t="shared" si="1"/>
        <v>374.39809559671784</v>
      </c>
      <c r="I5" s="77">
        <f t="shared" si="1"/>
        <v>374.39809559671784</v>
      </c>
      <c r="J5" s="77">
        <f t="shared" si="1"/>
        <v>374.39809559671784</v>
      </c>
      <c r="K5" s="77">
        <f t="shared" si="1"/>
        <v>374.39809559671784</v>
      </c>
    </row>
    <row r="6" spans="1:11" x14ac:dyDescent="0.25">
      <c r="A6" s="1" t="s">
        <v>3</v>
      </c>
      <c r="B6">
        <f t="shared" ref="B6:K6" si="2">1/((1+Discount_Rate_AC)^(B2))</f>
        <v>1</v>
      </c>
      <c r="C6">
        <f t="shared" si="2"/>
        <v>0.92592592592592582</v>
      </c>
      <c r="D6">
        <f t="shared" si="2"/>
        <v>0.85733882030178321</v>
      </c>
      <c r="E6">
        <f t="shared" si="2"/>
        <v>0.79383224102016958</v>
      </c>
      <c r="F6">
        <f t="shared" si="2"/>
        <v>0.73502985279645328</v>
      </c>
      <c r="G6">
        <f t="shared" si="2"/>
        <v>0.68058319703375303</v>
      </c>
      <c r="H6">
        <f t="shared" si="2"/>
        <v>0.63016962688310452</v>
      </c>
      <c r="I6">
        <f t="shared" si="2"/>
        <v>0.58349039526213387</v>
      </c>
      <c r="J6">
        <f t="shared" si="2"/>
        <v>0.54026888450197574</v>
      </c>
      <c r="K6">
        <f t="shared" si="2"/>
        <v>0.50024896713145905</v>
      </c>
    </row>
    <row r="7" spans="1:11" x14ac:dyDescent="0.25">
      <c r="A7" s="1" t="s">
        <v>102</v>
      </c>
      <c r="B7" s="3">
        <f>B6*B5</f>
        <v>374.39809559671784</v>
      </c>
      <c r="C7" s="80">
        <f t="shared" ref="C7:K7" si="3">C6*C5</f>
        <v>346.66490333029424</v>
      </c>
      <c r="D7" s="80">
        <f t="shared" si="3"/>
        <v>320.98602160212431</v>
      </c>
      <c r="E7" s="80">
        <f t="shared" si="3"/>
        <v>297.20927926122619</v>
      </c>
      <c r="F7" s="80">
        <f t="shared" si="3"/>
        <v>275.19377709372793</v>
      </c>
      <c r="G7" s="80">
        <f t="shared" si="3"/>
        <v>254.80905286456291</v>
      </c>
      <c r="H7" s="80">
        <f t="shared" si="3"/>
        <v>235.93430820792858</v>
      </c>
      <c r="I7" s="80">
        <f t="shared" si="3"/>
        <v>218.45769278511906</v>
      </c>
      <c r="J7" s="80">
        <f t="shared" si="3"/>
        <v>202.27564146770283</v>
      </c>
      <c r="K7" s="80">
        <f t="shared" si="3"/>
        <v>187.29226061824338</v>
      </c>
    </row>
    <row r="8" spans="1:11" x14ac:dyDescent="0.25">
      <c r="A8" s="78"/>
      <c r="C8" s="77"/>
      <c r="D8" s="77"/>
      <c r="E8" s="77"/>
      <c r="F8" s="77"/>
      <c r="G8" s="77"/>
      <c r="H8" s="77"/>
      <c r="I8" s="77"/>
      <c r="J8" s="77"/>
      <c r="K8" s="77"/>
    </row>
    <row r="10" spans="1:11" ht="15.75" thickBot="1" x14ac:dyDescent="0.3">
      <c r="B10" t="s">
        <v>260</v>
      </c>
      <c r="C10" t="s">
        <v>261</v>
      </c>
      <c r="D10" t="s">
        <v>262</v>
      </c>
    </row>
    <row r="11" spans="1:11" ht="16.5" thickTop="1" thickBot="1" x14ac:dyDescent="0.3">
      <c r="A11" s="1" t="s">
        <v>103</v>
      </c>
      <c r="B11" s="63">
        <f>SUM(B7:K7)</f>
        <v>2713.2210328276474</v>
      </c>
      <c r="C11">
        <v>7000</v>
      </c>
    </row>
    <row r="12" spans="1:11" ht="16.5" thickTop="1" thickBot="1" x14ac:dyDescent="0.3">
      <c r="A12" s="1" t="s">
        <v>89</v>
      </c>
      <c r="B12" s="63">
        <f>B11*Discount_Rate_AC/(1+Discount_Rate_AC-1/((1+Discount_Rate_AC)^9))</f>
        <v>374.39809559671761</v>
      </c>
      <c r="C12" s="63">
        <f>C11*Discount_Rate_AC/(1+Discount_Rate_AC-1/((1+Discount_Rate_AC)^9))</f>
        <v>965.93187118474771</v>
      </c>
      <c r="D12" s="63">
        <f>C12*peak_use_rate*power_rate</f>
        <v>554.2034110922491</v>
      </c>
      <c r="H12">
        <f>savings_medium</f>
        <v>326.27285019321818</v>
      </c>
    </row>
    <row r="13" spans="1:11" ht="15.75" thickTop="1" x14ac:dyDescent="0.25">
      <c r="A13" s="1"/>
    </row>
    <row r="14" spans="1:11" x14ac:dyDescent="0.25">
      <c r="A14" s="1"/>
    </row>
    <row r="15" spans="1:11" x14ac:dyDescent="0.25">
      <c r="A15" s="1" t="s">
        <v>104</v>
      </c>
      <c r="D15" t="s">
        <v>263</v>
      </c>
    </row>
    <row r="16" spans="1:11" x14ac:dyDescent="0.25">
      <c r="A16" t="s">
        <v>105</v>
      </c>
    </row>
    <row r="17" spans="1:3" x14ac:dyDescent="0.25">
      <c r="A17" s="64" t="s">
        <v>106</v>
      </c>
    </row>
    <row r="18" spans="1:3" x14ac:dyDescent="0.25">
      <c r="A18" s="64" t="s">
        <v>107</v>
      </c>
    </row>
    <row r="19" spans="1:3" x14ac:dyDescent="0.25">
      <c r="A19" s="64" t="s">
        <v>108</v>
      </c>
    </row>
    <row r="20" spans="1:3" x14ac:dyDescent="0.25">
      <c r="A20" s="64"/>
    </row>
    <row r="23" spans="1:3" x14ac:dyDescent="0.25">
      <c r="A23" t="s">
        <v>23</v>
      </c>
      <c r="B23" s="124">
        <f>discount_rate/100</f>
        <v>0.08</v>
      </c>
    </row>
    <row r="24" spans="1:3" ht="15.75" thickBot="1" x14ac:dyDescent="0.3">
      <c r="B24" s="65"/>
    </row>
    <row r="25" spans="1:3" ht="16.5" thickTop="1" thickBot="1" x14ac:dyDescent="0.3">
      <c r="A25" t="s">
        <v>111</v>
      </c>
      <c r="B25" s="66">
        <v>0.67500000000000004</v>
      </c>
      <c r="C25" t="s">
        <v>112</v>
      </c>
    </row>
    <row r="26" spans="1:3" ht="16.5" thickTop="1" thickBot="1" x14ac:dyDescent="0.3">
      <c r="A26" t="s">
        <v>255</v>
      </c>
      <c r="B26" s="66">
        <v>0.85</v>
      </c>
    </row>
    <row r="27" spans="1:3" ht="15.75" thickTop="1" x14ac:dyDescent="0.25"/>
    <row r="28" spans="1:3" x14ac:dyDescent="0.25">
      <c r="B28" s="77"/>
    </row>
    <row r="29" spans="1:3" x14ac:dyDescent="0.25">
      <c r="A29" t="s">
        <v>254</v>
      </c>
    </row>
  </sheetData>
  <hyperlinks>
    <hyperlink ref="F1" location="Contents!A1" display="Back to the Contents of this spreadsheet"/>
  </hyperlink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75</vt:i4>
      </vt:variant>
    </vt:vector>
  </HeadingPairs>
  <TitlesOfParts>
    <vt:vector size="90" baseType="lpstr">
      <vt:lpstr>About this spreadsheet</vt:lpstr>
      <vt:lpstr>Contents</vt:lpstr>
      <vt:lpstr>Summary</vt:lpstr>
      <vt:lpstr>Assumption parameters</vt:lpstr>
      <vt:lpstr>(1) Constrained Peaky regions</vt:lpstr>
      <vt:lpstr>(2) NEM phase in</vt:lpstr>
      <vt:lpstr>(3) NEM phase TOU</vt:lpstr>
      <vt:lpstr>(4) NEM DLC no SM</vt:lpstr>
      <vt:lpstr>Airconditioning results</vt:lpstr>
      <vt:lpstr>Summary LRMC&amp;SRMC</vt:lpstr>
      <vt:lpstr>Various LRMC</vt:lpstr>
      <vt:lpstr>AECOM LRMC&amp;SRMC</vt:lpstr>
      <vt:lpstr>One off</vt:lpstr>
      <vt:lpstr>Constrained peaky networks (v2)</vt:lpstr>
      <vt:lpstr>References</vt:lpstr>
      <vt:lpstr>'(1) Constrained Peaky regions'!_ftnref1</vt:lpstr>
      <vt:lpstr>'(2) NEM phase in'!_ftnref1</vt:lpstr>
      <vt:lpstr>'(3) NEM phase TOU'!_ftnref1</vt:lpstr>
      <vt:lpstr>'(4) NEM DLC no SM'!_ftnref1</vt:lpstr>
      <vt:lpstr>'Constrained peaky networks (v2)'!_ftnref1</vt:lpstr>
      <vt:lpstr>'One off'!_ftnref1</vt:lpstr>
      <vt:lpstr>a_val</vt:lpstr>
      <vt:lpstr>alpha</vt:lpstr>
      <vt:lpstr>b_val</vt:lpstr>
      <vt:lpstr>before_after_price</vt:lpstr>
      <vt:lpstr>beta</vt:lpstr>
      <vt:lpstr>business_eff_high</vt:lpstr>
      <vt:lpstr>business_eff_low</vt:lpstr>
      <vt:lpstr>business_eff_medium</vt:lpstr>
      <vt:lpstr>Cost_DirectLC_high</vt:lpstr>
      <vt:lpstr>Cost_DirectLC_low</vt:lpstr>
      <vt:lpstr>Cost_DirectLC_medium</vt:lpstr>
      <vt:lpstr>D_ratio</vt:lpstr>
      <vt:lpstr>deferral_multiplier</vt:lpstr>
      <vt:lpstr>Direct_load_control_devices</vt:lpstr>
      <vt:lpstr>discount_rate</vt:lpstr>
      <vt:lpstr>Discount_Rate_AC</vt:lpstr>
      <vt:lpstr>discount_rate_LRMC</vt:lpstr>
      <vt:lpstr>DLC_cost2</vt:lpstr>
      <vt:lpstr>DLC_response_high</vt:lpstr>
      <vt:lpstr>DLC_response_low</vt:lpstr>
      <vt:lpstr>DLC_response_medium</vt:lpstr>
      <vt:lpstr>DLC_sup_high</vt:lpstr>
      <vt:lpstr>DLC_sup_low</vt:lpstr>
      <vt:lpstr>elasticity_high</vt:lpstr>
      <vt:lpstr>elasticity_low</vt:lpstr>
      <vt:lpstr>elasticity_medium</vt:lpstr>
      <vt:lpstr>IT_update_high</vt:lpstr>
      <vt:lpstr>IT_update_low</vt:lpstr>
      <vt:lpstr>IT_update_medium</vt:lpstr>
      <vt:lpstr>K_val</vt:lpstr>
      <vt:lpstr>M_val</vt:lpstr>
      <vt:lpstr>maxeffect_years</vt:lpstr>
      <vt:lpstr>meters_by_region</vt:lpstr>
      <vt:lpstr>'One off'!meters_nonVic</vt:lpstr>
      <vt:lpstr>Meters_NonVic</vt:lpstr>
      <vt:lpstr>Participation_DLC_high</vt:lpstr>
      <vt:lpstr>Participation_DLC_low</vt:lpstr>
      <vt:lpstr>Participation_DLC_medium</vt:lpstr>
      <vt:lpstr>pay_high</vt:lpstr>
      <vt:lpstr>Pay_low</vt:lpstr>
      <vt:lpstr>Pay_middle</vt:lpstr>
      <vt:lpstr>peak_use_rate</vt:lpstr>
      <vt:lpstr>'One off'!PeakD_nonVic_max</vt:lpstr>
      <vt:lpstr>PeakD_nonVic_max</vt:lpstr>
      <vt:lpstr>'One off'!PeakD_nonVic_medium</vt:lpstr>
      <vt:lpstr>PeakD_nonVic_medium</vt:lpstr>
      <vt:lpstr>'One off'!PeakD_nonVic_min</vt:lpstr>
      <vt:lpstr>PeakD_nonVic_min</vt:lpstr>
      <vt:lpstr>power_rate</vt:lpstr>
      <vt:lpstr>price_ratio</vt:lpstr>
      <vt:lpstr>Q_val</vt:lpstr>
      <vt:lpstr>Rollout_yrs</vt:lpstr>
      <vt:lpstr>savings_high</vt:lpstr>
      <vt:lpstr>savings_low</vt:lpstr>
      <vt:lpstr>savings_medium</vt:lpstr>
      <vt:lpstr>smart_meter_costs_high</vt:lpstr>
      <vt:lpstr>smart_meter_costs_low</vt:lpstr>
      <vt:lpstr>smart_meter_costs_medium</vt:lpstr>
      <vt:lpstr>SRMC_high</vt:lpstr>
      <vt:lpstr>SRMC_low</vt:lpstr>
      <vt:lpstr>SRMC_medium</vt:lpstr>
      <vt:lpstr>SRMC_option</vt:lpstr>
      <vt:lpstr>TransGen_savings_high</vt:lpstr>
      <vt:lpstr>TransGen_savings_low</vt:lpstr>
      <vt:lpstr>TransGen_savings_medium</vt:lpstr>
      <vt:lpstr>V_val</vt:lpstr>
      <vt:lpstr>yrly_opex_high</vt:lpstr>
      <vt:lpstr>yrly_opex_low</vt:lpstr>
      <vt:lpstr>yrly_opex_medium</vt:lpstr>
    </vt:vector>
  </TitlesOfParts>
  <Company>Productivity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Demand management calculations - The Costs and Benefits of Demand Management for Households</dc:title>
  <dc:creator>Productivity Commission</dc:creator>
  <cp:lastModifiedBy>Productivity Commission</cp:lastModifiedBy>
  <cp:lastPrinted>2013-04-26T00:28:08Z</cp:lastPrinted>
  <dcterms:created xsi:type="dcterms:W3CDTF">2012-09-07T01:17:26Z</dcterms:created>
  <dcterms:modified xsi:type="dcterms:W3CDTF">2013-04-29T01:06:07Z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