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54" windowHeight="5554" tabRatio="893"/>
  </bookViews>
  <sheets>
    <sheet name="Contents" sheetId="51" r:id="rId1"/>
    <sheet name="Tables reported in Inquiry" sheetId="16" r:id="rId2"/>
    <sheet name="NPV calculations" sheetId="44" r:id="rId3"/>
    <sheet name="Main calculations" sheetId="38" r:id="rId4"/>
    <sheet name="Sensitivity calculations" sheetId="53" r:id="rId5"/>
    <sheet name="Inputs into calculations" sheetId="18" r:id="rId6"/>
    <sheet name="Inputs into time calculations" sheetId="54" r:id="rId7"/>
    <sheet name="for SP 5 Appendix B" sheetId="1" r:id="rId8"/>
    <sheet name="AIHW Hospital resources" sheetId="26" r:id="rId9"/>
    <sheet name="AIHW Health spending &amp; PC ests" sheetId="49" r:id="rId10"/>
    <sheet name="ABS Health Survey" sheetId="48" r:id="rId11"/>
    <sheet name="ABS CPI" sheetId="50" r:id="rId12"/>
    <sheet name="ABS earnings" sheetId="39" r:id="rId13"/>
    <sheet name="ABS Average weekly hours" sheetId="40" r:id="rId14"/>
    <sheet name="ABS demographic" sheetId="20" r:id="rId15"/>
    <sheet name="ABS Time use" sheetId="28" r:id="rId16"/>
    <sheet name="ABS occ wage" sheetId="30" r:id="rId17"/>
    <sheet name="ABS Leave entitlement" sheetId="45" r:id="rId18"/>
    <sheet name="Average time Haas et al" sheetId="55" r:id="rId19"/>
    <sheet name="Medicare data" sheetId="56" r:id="rId20"/>
    <sheet name="BEACH&amp;ABS" sheetId="57" r:id="rId21"/>
    <sheet name="ABS Hours worked by age group" sheetId="58" r:id="rId22"/>
  </sheets>
  <definedNames>
    <definedName name="_AMO_UniqueIdentifier" hidden="1">"'f2d94af3-f630-4362-8b6d-6f5e4bedfbda'"</definedName>
    <definedName name="_Toc382664794" localSheetId="8">'AIHW Hospital resources'!$A$4</definedName>
    <definedName name="_Toc421111357" localSheetId="8">'AIHW Hospital resources'!$A$4</definedName>
    <definedName name="_Toc447638322" localSheetId="8">'AIHW Hospital resources'!$A$4</definedName>
    <definedName name="A2133244X">'ABS demographic'!$B$5:$B$14,'ABS demographic'!$B$15:$B$156</definedName>
    <definedName name="A2133244X_Data">'ABS demographic'!$B$15:$B$156</definedName>
    <definedName name="A2133244X_Latest">'ABS demographic'!$B$156</definedName>
    <definedName name="A2133245A">'ABS demographic'!$C$5:$C$14,'ABS demographic'!$C$15:$C$156</definedName>
    <definedName name="A2133245A_Data">'ABS demographic'!$C$15:$C$156</definedName>
    <definedName name="A2133245A_Latest">'ABS demographic'!$C$156</definedName>
    <definedName name="A2133246C">'ABS demographic'!$E$5:$E$14,'ABS demographic'!$E$15:$E$156</definedName>
    <definedName name="A2133246C_Data">'ABS demographic'!$E$15:$E$156</definedName>
    <definedName name="A2133246C_Latest">'ABS demographic'!$E$156</definedName>
    <definedName name="A2133247F">'ABS demographic'!$F$5:$F$14,'ABS demographic'!$F$15:$F$156</definedName>
    <definedName name="A2133247F_Data">'ABS demographic'!$F$15:$F$156</definedName>
    <definedName name="A2133247F_Latest">'ABS demographic'!$F$156</definedName>
    <definedName name="A2133248J">'ABS demographic'!$G$5:$G$14,'ABS demographic'!$G$15:$G$156</definedName>
    <definedName name="A2133248J_Data">'ABS demographic'!$G$15:$G$156</definedName>
    <definedName name="A2133248J_Latest">'ABS demographic'!$G$156</definedName>
    <definedName name="A2133249K">'ABS demographic'!$H$5:$H$14,'ABS demographic'!$H$15:$H$156</definedName>
    <definedName name="A2133249K_Data">'ABS demographic'!$H$15:$H$156</definedName>
    <definedName name="A2133249K_Latest">'ABS demographic'!$H$156</definedName>
    <definedName name="A2133250V">'ABS demographic'!$J$5:$J$14,'ABS demographic'!$J$15:$J$156</definedName>
    <definedName name="A2133250V_Data">'ABS demographic'!$J$15:$J$156</definedName>
    <definedName name="A2133250V_Latest">'ABS demographic'!$J$156</definedName>
    <definedName name="A2133251W">'ABS demographic'!$L$5:$L$14,'ABS demographic'!$L$15:$L$156</definedName>
    <definedName name="A2133251W_Data">'ABS demographic'!$L$15:$L$156</definedName>
    <definedName name="A2133251W_Latest">'ABS demographic'!$L$156</definedName>
    <definedName name="A2133252X">'ABS demographic'!$D$5:$D$14,'ABS demographic'!$D$15:$D$156</definedName>
    <definedName name="A2133252X_Data">'ABS demographic'!$D$15:$D$156</definedName>
    <definedName name="A2133252X_Latest">'ABS demographic'!$D$156</definedName>
    <definedName name="A2133253A">'ABS demographic'!$I$5:$I$14,'ABS demographic'!$I$15:$I$156</definedName>
    <definedName name="A2133253A_Data">'ABS demographic'!$I$15:$I$156</definedName>
    <definedName name="A2133253A_Latest">'ABS demographic'!$I$156</definedName>
    <definedName name="A2133254C">'ABS demographic'!$K$5:$K$14,'ABS demographic'!$K$15:$K$156</definedName>
    <definedName name="A2133254C_Data">'ABS demographic'!$K$15:$K$156</definedName>
    <definedName name="A2133254C_Latest">'ABS demographic'!$K$156</definedName>
    <definedName name="A2133255F">'ABS demographic'!$M$5:$M$14,'ABS demographic'!$M$15:$M$156</definedName>
    <definedName name="A2133255F_Data">'ABS demographic'!$M$15:$M$156</definedName>
    <definedName name="A2133255F_Latest">'ABS demographic'!$M$156</definedName>
    <definedName name="A2133256J">'ABS demographic'!$N$5:$N$14,'ABS demographic'!$N$15:$N$156</definedName>
    <definedName name="A2133256J_Data">'ABS demographic'!$N$15:$N$156</definedName>
    <definedName name="A2133256J_Latest">'ABS demographic'!$N$156</definedName>
    <definedName name="A85002146J" localSheetId="2">'ABS earnings'!#REF!,'ABS earnings'!#REF!</definedName>
    <definedName name="A85002146J" localSheetId="4">'ABS earnings'!#REF!,'ABS earnings'!#REF!</definedName>
    <definedName name="A85002146J">'ABS earnings'!#REF!,'ABS earnings'!#REF!</definedName>
    <definedName name="A85002146J_Data" localSheetId="2">'ABS earnings'!#REF!</definedName>
    <definedName name="A85002146J_Data" localSheetId="4">'ABS earnings'!#REF!</definedName>
    <definedName name="A85002146J_Data">'ABS earnings'!#REF!</definedName>
    <definedName name="A85002146J_Latest" localSheetId="2">'ABS earnings'!#REF!</definedName>
    <definedName name="A85002146J_Latest" localSheetId="4">'ABS earnings'!#REF!</definedName>
    <definedName name="A85002146J_Latest">'ABS earnings'!#REF!</definedName>
    <definedName name="A85002147K" localSheetId="2">'ABS earnings'!#REF!,'ABS earnings'!#REF!</definedName>
    <definedName name="A85002147K" localSheetId="4">'ABS earnings'!#REF!,'ABS earnings'!#REF!</definedName>
    <definedName name="A85002147K">'ABS earnings'!#REF!,'ABS earnings'!#REF!</definedName>
    <definedName name="A85002147K_Data" localSheetId="2">'ABS earnings'!#REF!</definedName>
    <definedName name="A85002147K_Data" localSheetId="4">'ABS earnings'!#REF!</definedName>
    <definedName name="A85002147K_Data">'ABS earnings'!#REF!</definedName>
    <definedName name="A85002147K_Latest" localSheetId="2">'ABS earnings'!#REF!</definedName>
    <definedName name="A85002147K_Latest" localSheetId="4">'ABS earnings'!#REF!</definedName>
    <definedName name="A85002147K_Latest">'ABS earnings'!#REF!</definedName>
    <definedName name="A85002148L">'ABS earnings'!$B$5:$B$14,'ABS earnings'!$B$15:$B$18</definedName>
    <definedName name="A85002148L_Data">'ABS earnings'!$B$15:$B$18</definedName>
    <definedName name="A85002148L_Latest">'ABS earnings'!$B$18</definedName>
    <definedName name="A85002149R" localSheetId="2">'ABS earnings'!#REF!,'ABS earnings'!#REF!</definedName>
    <definedName name="A85002149R" localSheetId="4">'ABS earnings'!#REF!,'ABS earnings'!#REF!</definedName>
    <definedName name="A85002149R">'ABS earnings'!#REF!,'ABS earnings'!#REF!</definedName>
    <definedName name="A85002149R_Data" localSheetId="2">'ABS earnings'!#REF!</definedName>
    <definedName name="A85002149R_Data" localSheetId="4">'ABS earnings'!#REF!</definedName>
    <definedName name="A85002149R_Data">'ABS earnings'!#REF!</definedName>
    <definedName name="A85002149R_Latest" localSheetId="2">'ABS earnings'!#REF!</definedName>
    <definedName name="A85002149R_Latest" localSheetId="4">'ABS earnings'!#REF!</definedName>
    <definedName name="A85002149R_Latest">'ABS earnings'!#REF!</definedName>
    <definedName name="A85002150X" localSheetId="2">'ABS earnings'!#REF!,'ABS earnings'!#REF!</definedName>
    <definedName name="A85002150X" localSheetId="4">'ABS earnings'!#REF!,'ABS earnings'!#REF!</definedName>
    <definedName name="A85002150X">'ABS earnings'!#REF!,'ABS earnings'!#REF!</definedName>
    <definedName name="A85002150X_Data" localSheetId="2">'ABS earnings'!#REF!</definedName>
    <definedName name="A85002150X_Data" localSheetId="4">'ABS earnings'!#REF!</definedName>
    <definedName name="A85002150X_Data">'ABS earnings'!#REF!</definedName>
    <definedName name="A85002150X_Latest" localSheetId="2">'ABS earnings'!#REF!</definedName>
    <definedName name="A85002150X_Latest" localSheetId="4">'ABS earnings'!#REF!</definedName>
    <definedName name="A85002150X_Latest">'ABS earnings'!#REF!</definedName>
    <definedName name="A85002151A">'ABS earnings'!$C$5:$C$14,'ABS earnings'!$C$15:$C$18</definedName>
    <definedName name="A85002151A_Data">'ABS earnings'!$C$15:$C$18</definedName>
    <definedName name="A85002151A_Latest">'ABS earnings'!$C$18</definedName>
    <definedName name="A85002155K" localSheetId="2">'ABS earnings'!#REF!,'ABS earnings'!#REF!</definedName>
    <definedName name="A85002155K" localSheetId="4">'ABS earnings'!#REF!,'ABS earnings'!#REF!</definedName>
    <definedName name="A85002155K">'ABS earnings'!#REF!,'ABS earnings'!#REF!</definedName>
    <definedName name="A85002155K_Data" localSheetId="2">'ABS earnings'!#REF!</definedName>
    <definedName name="A85002155K_Data" localSheetId="4">'ABS earnings'!#REF!</definedName>
    <definedName name="A85002155K_Data">'ABS earnings'!#REF!</definedName>
    <definedName name="A85002155K_Latest" localSheetId="2">'ABS earnings'!#REF!</definedName>
    <definedName name="A85002155K_Latest" localSheetId="4">'ABS earnings'!#REF!</definedName>
    <definedName name="A85002155K_Latest">'ABS earnings'!#REF!</definedName>
    <definedName name="A85002156L" localSheetId="2">'ABS earnings'!#REF!,'ABS earnings'!#REF!</definedName>
    <definedName name="A85002156L" localSheetId="4">'ABS earnings'!#REF!,'ABS earnings'!#REF!</definedName>
    <definedName name="A85002156L">'ABS earnings'!#REF!,'ABS earnings'!#REF!</definedName>
    <definedName name="A85002156L_Data" localSheetId="2">'ABS earnings'!#REF!</definedName>
    <definedName name="A85002156L_Data" localSheetId="4">'ABS earnings'!#REF!</definedName>
    <definedName name="A85002156L_Data">'ABS earnings'!#REF!</definedName>
    <definedName name="A85002156L_Latest" localSheetId="2">'ABS earnings'!#REF!</definedName>
    <definedName name="A85002156L_Latest" localSheetId="4">'ABS earnings'!#REF!</definedName>
    <definedName name="A85002156L_Latest">'ABS earnings'!#REF!</definedName>
    <definedName name="A85002157R">'ABS earnings'!$D$5:$D$14,'ABS earnings'!$D$15:$D$18</definedName>
    <definedName name="A85002157R_Data">'ABS earnings'!$D$15:$D$18</definedName>
    <definedName name="A85002157R_Latest">'ABS earnings'!$D$18</definedName>
    <definedName name="A85027645R" localSheetId="2">'ABS earnings'!#REF!,'ABS earnings'!#REF!</definedName>
    <definedName name="A85027645R" localSheetId="4">'ABS earnings'!#REF!,'ABS earnings'!#REF!</definedName>
    <definedName name="A85027645R">'ABS earnings'!#REF!,'ABS earnings'!#REF!</definedName>
    <definedName name="A85027645R_Data" localSheetId="2">'ABS earnings'!#REF!</definedName>
    <definedName name="A85027645R_Data" localSheetId="4">'ABS earnings'!#REF!</definedName>
    <definedName name="A85027645R_Data">'ABS earnings'!#REF!</definedName>
    <definedName name="A85027645R_Latest" localSheetId="2">'ABS earnings'!#REF!</definedName>
    <definedName name="A85027645R_Latest" localSheetId="4">'ABS earnings'!#REF!</definedName>
    <definedName name="A85027645R_Latest">'ABS earnings'!#REF!</definedName>
    <definedName name="A85027646T" localSheetId="2">'ABS earnings'!#REF!,'ABS earnings'!#REF!</definedName>
    <definedName name="A85027646T" localSheetId="4">'ABS earnings'!#REF!,'ABS earnings'!#REF!</definedName>
    <definedName name="A85027646T">'ABS earnings'!#REF!,'ABS earnings'!#REF!</definedName>
    <definedName name="A85027646T_Data" localSheetId="2">'ABS earnings'!#REF!</definedName>
    <definedName name="A85027646T_Data" localSheetId="4">'ABS earnings'!#REF!</definedName>
    <definedName name="A85027646T_Data">'ABS earnings'!#REF!</definedName>
    <definedName name="A85027646T_Latest" localSheetId="2">'ABS earnings'!#REF!</definedName>
    <definedName name="A85027646T_Latest" localSheetId="4">'ABS earnings'!#REF!</definedName>
    <definedName name="A85027646T_Latest">'ABS earnings'!#REF!</definedName>
    <definedName name="A85027647V" localSheetId="2">'ABS earnings'!#REF!,'ABS earnings'!#REF!</definedName>
    <definedName name="A85027647V" localSheetId="4">'ABS earnings'!#REF!,'ABS earnings'!#REF!</definedName>
    <definedName name="A85027647V">'ABS earnings'!#REF!,'ABS earnings'!#REF!</definedName>
    <definedName name="A85027647V_Data" localSheetId="2">'ABS earnings'!#REF!</definedName>
    <definedName name="A85027647V_Data" localSheetId="4">'ABS earnings'!#REF!</definedName>
    <definedName name="A85027647V_Data">'ABS earnings'!#REF!</definedName>
    <definedName name="A85027647V_Latest" localSheetId="2">'ABS earnings'!#REF!</definedName>
    <definedName name="A85027647V_Latest" localSheetId="4">'ABS earnings'!#REF!</definedName>
    <definedName name="A85027647V_Latest">'ABS earnings'!#REF!</definedName>
    <definedName name="A85027648W" localSheetId="2">'ABS earnings'!#REF!,'ABS earnings'!#REF!</definedName>
    <definedName name="A85027648W" localSheetId="4">'ABS earnings'!#REF!,'ABS earnings'!#REF!</definedName>
    <definedName name="A85027648W">'ABS earnings'!#REF!,'ABS earnings'!#REF!</definedName>
    <definedName name="A85027648W_Data" localSheetId="2">'ABS earnings'!#REF!</definedName>
    <definedName name="A85027648W_Data" localSheetId="4">'ABS earnings'!#REF!</definedName>
    <definedName name="A85027648W_Data">'ABS earnings'!#REF!</definedName>
    <definedName name="A85027648W_Latest" localSheetId="2">'ABS earnings'!#REF!</definedName>
    <definedName name="A85027648W_Latest" localSheetId="4">'ABS earnings'!#REF!</definedName>
    <definedName name="A85027648W_Latest">'ABS earnings'!#REF!</definedName>
    <definedName name="A85027649X" localSheetId="2">'ABS earnings'!#REF!,'ABS earnings'!#REF!</definedName>
    <definedName name="A85027649X" localSheetId="4">'ABS earnings'!#REF!,'ABS earnings'!#REF!</definedName>
    <definedName name="A85027649X">'ABS earnings'!#REF!,'ABS earnings'!#REF!</definedName>
    <definedName name="A85027649X_Data" localSheetId="2">'ABS earnings'!#REF!</definedName>
    <definedName name="A85027649X_Data" localSheetId="4">'ABS earnings'!#REF!</definedName>
    <definedName name="A85027649X_Data">'ABS earnings'!#REF!</definedName>
    <definedName name="A85027649X_Latest" localSheetId="2">'ABS earnings'!#REF!</definedName>
    <definedName name="A85027649X_Latest" localSheetId="4">'ABS earnings'!#REF!</definedName>
    <definedName name="A85027649X_Latest">'ABS earnings'!#REF!</definedName>
    <definedName name="A85027650J" localSheetId="2">'ABS earnings'!#REF!,'ABS earnings'!#REF!</definedName>
    <definedName name="A85027650J" localSheetId="4">'ABS earnings'!#REF!,'ABS earnings'!#REF!</definedName>
    <definedName name="A85027650J">'ABS earnings'!#REF!,'ABS earnings'!#REF!</definedName>
    <definedName name="A85027650J_Data" localSheetId="2">'ABS earnings'!#REF!</definedName>
    <definedName name="A85027650J_Data" localSheetId="4">'ABS earnings'!#REF!</definedName>
    <definedName name="A85027650J_Data">'ABS earnings'!#REF!</definedName>
    <definedName name="A85027650J_Latest" localSheetId="2">'ABS earnings'!#REF!</definedName>
    <definedName name="A85027650J_Latest" localSheetId="4">'ABS earnings'!#REF!</definedName>
    <definedName name="A85027650J_Latest">'ABS earnings'!#REF!</definedName>
    <definedName name="A85027651K" localSheetId="2">'ABS earnings'!#REF!,'ABS earnings'!#REF!</definedName>
    <definedName name="A85027651K" localSheetId="4">'ABS earnings'!#REF!,'ABS earnings'!#REF!</definedName>
    <definedName name="A85027651K">'ABS earnings'!#REF!,'ABS earnings'!#REF!</definedName>
    <definedName name="A85027651K_Data" localSheetId="2">'ABS earnings'!#REF!</definedName>
    <definedName name="A85027651K_Data" localSheetId="4">'ABS earnings'!#REF!</definedName>
    <definedName name="A85027651K_Data">'ABS earnings'!#REF!</definedName>
    <definedName name="A85027651K_Latest" localSheetId="2">'ABS earnings'!#REF!</definedName>
    <definedName name="A85027651K_Latest" localSheetId="4">'ABS earnings'!#REF!</definedName>
    <definedName name="A85027651K_Latest">'ABS earnings'!#REF!</definedName>
    <definedName name="A85027652L" localSheetId="2">'ABS earnings'!#REF!,'ABS earnings'!#REF!</definedName>
    <definedName name="A85027652L" localSheetId="4">'ABS earnings'!#REF!,'ABS earnings'!#REF!</definedName>
    <definedName name="A85027652L">'ABS earnings'!#REF!,'ABS earnings'!#REF!</definedName>
    <definedName name="A85027652L_Data" localSheetId="2">'ABS earnings'!#REF!</definedName>
    <definedName name="A85027652L_Data" localSheetId="4">'ABS earnings'!#REF!</definedName>
    <definedName name="A85027652L_Data">'ABS earnings'!#REF!</definedName>
    <definedName name="A85027652L_Latest" localSheetId="2">'ABS earnings'!#REF!</definedName>
    <definedName name="A85027652L_Latest" localSheetId="4">'ABS earnings'!#REF!</definedName>
    <definedName name="A85027652L_Latest">'ABS earnings'!#REF!</definedName>
    <definedName name="A85027653R" localSheetId="2">'ABS earnings'!#REF!,'ABS earnings'!#REF!</definedName>
    <definedName name="A85027653R" localSheetId="4">'ABS earnings'!#REF!,'ABS earnings'!#REF!</definedName>
    <definedName name="A85027653R">'ABS earnings'!#REF!,'ABS earnings'!#REF!</definedName>
    <definedName name="A85027653R_Data" localSheetId="2">'ABS earnings'!#REF!</definedName>
    <definedName name="A85027653R_Data" localSheetId="4">'ABS earnings'!#REF!</definedName>
    <definedName name="A85027653R_Data">'ABS earnings'!#REF!</definedName>
    <definedName name="A85027653R_Latest" localSheetId="2">'ABS earnings'!#REF!</definedName>
    <definedName name="A85027653R_Latest" localSheetId="4">'ABS earnings'!#REF!</definedName>
    <definedName name="A85027653R_Latest">'ABS earnings'!#REF!</definedName>
    <definedName name="Date_Range" localSheetId="12">'ABS earnings'!$A$6:$A$14,'ABS earnings'!$A$15:$A$18</definedName>
    <definedName name="Date_Range">'ABS demographic'!$A$6:$A$14,'ABS demographic'!$A$15:$A$156</definedName>
    <definedName name="Date_Range_Data" localSheetId="12">'ABS earnings'!$A$15:$A$18</definedName>
    <definedName name="Date_Range_Data">'ABS demographic'!$A$15:$A$156</definedName>
    <definedName name="DiscountRate" localSheetId="2">'NPV calculations'!$B$6</definedName>
    <definedName name="DiscountRate" localSheetId="4">#REF!</definedName>
    <definedName name="DiscountRate">#REF!</definedName>
    <definedName name="FirstYear" localSheetId="2">'NPV calculations'!$B$7</definedName>
    <definedName name="FirstYear" localSheetId="4">#REF!</definedName>
    <definedName name="FirstYear">#REF!</definedName>
    <definedName name="From_work_share">'Inputs into time calculations'!$B$19</definedName>
    <definedName name="opportunity_cost">'Inputs into time calculations'!$B$18</definedName>
    <definedName name="_xlnm.Print_Area" localSheetId="2">'NPV calculations'!$A$1:$O$36</definedName>
    <definedName name="Real_annual_growth_health">'Main calculations'!$C$239</definedName>
    <definedName name="TopOfTable_Table_5" localSheetId="16">'ABS occ wage'!$A$3</definedName>
    <definedName name="TopOfTable_Table_5" localSheetId="3">#REF!</definedName>
    <definedName name="TopOfTable_Table_5" localSheetId="2">#REF!</definedName>
    <definedName name="TopOfTable_Table_5" localSheetId="4">#REF!</definedName>
    <definedName name="TopOfTable_Table_5">#REF!</definedName>
    <definedName name="wage_rate_employed">'Inputs into time calculations'!$B$17</definedName>
    <definedName name="waste_minutes">'Inputs into time calculations'!$B$25</definedName>
  </definedNames>
  <calcPr calcId="152511"/>
</workbook>
</file>

<file path=xl/calcChain.xml><?xml version="1.0" encoding="utf-8"?>
<calcChain xmlns="http://schemas.openxmlformats.org/spreadsheetml/2006/main">
  <c r="B15" i="54" l="1"/>
  <c r="B16" i="54"/>
  <c r="B19" i="54"/>
  <c r="B20" i="54"/>
  <c r="B21" i="54"/>
  <c r="I10" i="58" l="1"/>
  <c r="I11" i="58"/>
  <c r="I12" i="58"/>
  <c r="I13" i="58"/>
  <c r="I14" i="58" s="1"/>
  <c r="B11" i="57"/>
  <c r="C11" i="57"/>
  <c r="D11" i="57"/>
  <c r="E47" i="57" s="1"/>
  <c r="E32" i="54" s="1"/>
  <c r="E11" i="57"/>
  <c r="F11" i="57"/>
  <c r="G11" i="57"/>
  <c r="H11" i="57"/>
  <c r="I47" i="57" s="1"/>
  <c r="I32" i="54" s="1"/>
  <c r="I11" i="57"/>
  <c r="J11" i="57"/>
  <c r="B14" i="57"/>
  <c r="C14" i="57"/>
  <c r="C15" i="57" s="1"/>
  <c r="C41" i="57" s="1"/>
  <c r="D14" i="57"/>
  <c r="D15" i="57" s="1"/>
  <c r="D41" i="57" s="1"/>
  <c r="E14" i="57"/>
  <c r="F14" i="57"/>
  <c r="B15" i="57"/>
  <c r="F15" i="57"/>
  <c r="B19" i="57"/>
  <c r="C19" i="57"/>
  <c r="D19" i="57"/>
  <c r="E19" i="57"/>
  <c r="F19" i="57"/>
  <c r="G19" i="57"/>
  <c r="H19" i="57"/>
  <c r="I19" i="57"/>
  <c r="J19" i="57"/>
  <c r="B32" i="57"/>
  <c r="C32" i="57"/>
  <c r="D32" i="57"/>
  <c r="E32" i="57"/>
  <c r="E34" i="57" s="1"/>
  <c r="B40" i="57" s="1"/>
  <c r="F32" i="57"/>
  <c r="G32" i="57"/>
  <c r="H32" i="57"/>
  <c r="H34" i="57" s="1"/>
  <c r="E40" i="57" s="1"/>
  <c r="I32" i="57"/>
  <c r="I34" i="57" s="1"/>
  <c r="F40" i="57" s="1"/>
  <c r="G34" i="57"/>
  <c r="D40" i="57" s="1"/>
  <c r="B41" i="57"/>
  <c r="F41" i="57"/>
  <c r="B43" i="57"/>
  <c r="B47" i="57" s="1"/>
  <c r="D47" i="57"/>
  <c r="D32" i="54" s="1"/>
  <c r="H47" i="57"/>
  <c r="H32" i="54" s="1"/>
  <c r="B8" i="56"/>
  <c r="B27" i="54" s="1"/>
  <c r="B12" i="55"/>
  <c r="B14" i="55" a="1"/>
  <c r="B14" i="55" s="1"/>
  <c r="B8" i="54"/>
  <c r="C8" i="54"/>
  <c r="C9" i="54" s="1"/>
  <c r="D8" i="54"/>
  <c r="D9" i="54" s="1"/>
  <c r="E8" i="54"/>
  <c r="E9" i="54" s="1"/>
  <c r="F8" i="54"/>
  <c r="G8" i="54"/>
  <c r="G9" i="54" s="1"/>
  <c r="B9" i="54"/>
  <c r="F9" i="54"/>
  <c r="B10" i="54"/>
  <c r="C10" i="54"/>
  <c r="C12" i="54" s="1"/>
  <c r="D10" i="54"/>
  <c r="E10" i="54"/>
  <c r="E12" i="54" s="1"/>
  <c r="F10" i="54"/>
  <c r="F12" i="54" s="1"/>
  <c r="G10" i="54"/>
  <c r="G12" i="54" s="1"/>
  <c r="H11" i="54"/>
  <c r="D12" i="54"/>
  <c r="B17" i="54"/>
  <c r="H10" i="54" l="1"/>
  <c r="H12" i="54" s="1"/>
  <c r="D33" i="54"/>
  <c r="B12" i="54"/>
  <c r="H33" i="54"/>
  <c r="G38" i="54" s="1"/>
  <c r="I33" i="54"/>
  <c r="H38" i="54" s="1"/>
  <c r="E33" i="54"/>
  <c r="H9" i="54"/>
  <c r="B32" i="54"/>
  <c r="B33" i="54" s="1"/>
  <c r="G47" i="57"/>
  <c r="G32" i="54" s="1"/>
  <c r="G33" i="54" s="1"/>
  <c r="F38" i="54" s="1"/>
  <c r="F42" i="54" s="1"/>
  <c r="F43" i="54" s="1"/>
  <c r="C47" i="57"/>
  <c r="C32" i="54" s="1"/>
  <c r="C33" i="54" s="1"/>
  <c r="F34" i="57"/>
  <c r="C40" i="57" s="1"/>
  <c r="E15" i="57"/>
  <c r="E41" i="57" s="1"/>
  <c r="H8" i="54"/>
  <c r="J47" i="57"/>
  <c r="J32" i="54" s="1"/>
  <c r="J33" i="54" s="1"/>
  <c r="I38" i="54" s="1"/>
  <c r="F47" i="57"/>
  <c r="F32" i="54" s="1"/>
  <c r="F33" i="54" s="1"/>
  <c r="E38" i="54" s="1"/>
  <c r="E42" i="54" s="1"/>
  <c r="E43" i="54" s="1"/>
  <c r="G42" i="54" l="1"/>
  <c r="G43" i="54" s="1"/>
  <c r="G44" i="54" s="1"/>
  <c r="B38" i="54"/>
  <c r="D38" i="54"/>
  <c r="D42" i="54" s="1"/>
  <c r="D43" i="54" s="1"/>
  <c r="D45" i="54" s="1"/>
  <c r="C38" i="54"/>
  <c r="C42" i="54" s="1"/>
  <c r="C43" i="54" s="1"/>
  <c r="C44" i="54" s="1"/>
  <c r="G45" i="54"/>
  <c r="B42" i="54"/>
  <c r="F45" i="54"/>
  <c r="F44" i="54"/>
  <c r="K47" i="57"/>
  <c r="E44" i="54"/>
  <c r="E45" i="54"/>
  <c r="C45" i="54" l="1"/>
  <c r="J38" i="54"/>
  <c r="B66" i="54" s="1"/>
  <c r="B67" i="54" s="1"/>
  <c r="B71" i="54" s="1"/>
  <c r="D44" i="54"/>
  <c r="D46" i="54"/>
  <c r="D47" i="54" s="1"/>
  <c r="E46" i="54"/>
  <c r="E47" i="54" s="1"/>
  <c r="F46" i="54"/>
  <c r="F47" i="54" s="1"/>
  <c r="G46" i="54"/>
  <c r="G47" i="54" s="1"/>
  <c r="C46" i="54"/>
  <c r="C47" i="54" s="1"/>
  <c r="B43" i="54"/>
  <c r="H42" i="54"/>
  <c r="B68" i="54" l="1"/>
  <c r="B72" i="54" s="1"/>
  <c r="H43" i="54"/>
  <c r="B45" i="54"/>
  <c r="H45" i="54" s="1"/>
  <c r="B44" i="54"/>
  <c r="B69" i="54" l="1"/>
  <c r="B73" i="54" s="1"/>
  <c r="B74" i="54" s="1"/>
  <c r="H44" i="54"/>
  <c r="B49" i="54" s="1"/>
  <c r="B46" i="54"/>
  <c r="H46" i="54" s="1"/>
  <c r="B47" i="54" l="1"/>
  <c r="H47" i="54" s="1"/>
  <c r="C216" i="38" l="1"/>
  <c r="E212" i="38" s="1"/>
  <c r="C226" i="38"/>
  <c r="C230" i="38"/>
  <c r="D229" i="38"/>
  <c r="D230" i="38" s="1"/>
  <c r="E229" i="38"/>
  <c r="E230" i="38" s="1"/>
  <c r="F229" i="38"/>
  <c r="F230" i="38" s="1"/>
  <c r="G229" i="38"/>
  <c r="G230" i="38" s="1"/>
  <c r="H229" i="38"/>
  <c r="H230" i="38" s="1"/>
  <c r="I229" i="38"/>
  <c r="I230" i="38" s="1"/>
  <c r="J229" i="38"/>
  <c r="J230" i="38" s="1"/>
  <c r="K229" i="38"/>
  <c r="K230" i="38" s="1"/>
  <c r="L229" i="38"/>
  <c r="L230" i="38" s="1"/>
  <c r="M229" i="38"/>
  <c r="M230" i="38" s="1"/>
  <c r="N229" i="38"/>
  <c r="N230" i="38" s="1"/>
  <c r="O229" i="38"/>
  <c r="O230" i="38" s="1"/>
  <c r="P229" i="38"/>
  <c r="P230" i="38" s="1"/>
  <c r="Q229" i="38"/>
  <c r="Q230" i="38" s="1"/>
  <c r="R229" i="38"/>
  <c r="R230" i="38" s="1"/>
  <c r="S229" i="38"/>
  <c r="S230" i="38" s="1"/>
  <c r="T229" i="38"/>
  <c r="T230" i="38" s="1"/>
  <c r="U229" i="38"/>
  <c r="U230" i="38" s="1"/>
  <c r="V229" i="38"/>
  <c r="V230" i="38" s="1"/>
  <c r="W229" i="38"/>
  <c r="W230" i="38" s="1"/>
  <c r="X229" i="38"/>
  <c r="X230" i="38" s="1"/>
  <c r="Y229" i="38"/>
  <c r="Y230" i="38" s="1"/>
  <c r="Z229" i="38"/>
  <c r="Z230" i="38" s="1"/>
  <c r="AA229" i="38"/>
  <c r="AA230" i="38" s="1"/>
  <c r="C247" i="38"/>
  <c r="C183" i="53"/>
  <c r="D183" i="53" s="1"/>
  <c r="E183" i="53" s="1"/>
  <c r="F183" i="53" s="1"/>
  <c r="G183" i="53" s="1"/>
  <c r="H183" i="53" s="1"/>
  <c r="I183" i="53" s="1"/>
  <c r="J183" i="53" s="1"/>
  <c r="K183" i="53" s="1"/>
  <c r="L183" i="53" s="1"/>
  <c r="M183" i="53" s="1"/>
  <c r="N183" i="53" s="1"/>
  <c r="O183" i="53" s="1"/>
  <c r="P183" i="53" s="1"/>
  <c r="Q183" i="53" s="1"/>
  <c r="R183" i="53" s="1"/>
  <c r="S183" i="53" s="1"/>
  <c r="T183" i="53" s="1"/>
  <c r="U183" i="53" s="1"/>
  <c r="V183" i="53" s="1"/>
  <c r="W183" i="53" s="1"/>
  <c r="X183" i="53" s="1"/>
  <c r="Y183" i="53" s="1"/>
  <c r="Z183" i="53" s="1"/>
  <c r="AA183" i="53" s="1"/>
  <c r="C182" i="53"/>
  <c r="Y182" i="53" s="1"/>
  <c r="C181" i="53"/>
  <c r="D181" i="53" s="1"/>
  <c r="E181" i="53" s="1"/>
  <c r="F181" i="53" s="1"/>
  <c r="G181" i="53" s="1"/>
  <c r="C177" i="53"/>
  <c r="O177" i="53" s="1"/>
  <c r="C146" i="53"/>
  <c r="C145" i="53"/>
  <c r="C144" i="53"/>
  <c r="C143" i="53"/>
  <c r="Z139" i="53"/>
  <c r="V138" i="53"/>
  <c r="V137" i="53" s="1"/>
  <c r="Q138" i="53"/>
  <c r="Q137" i="53" s="1"/>
  <c r="Q139" i="53" s="1"/>
  <c r="L138" i="53"/>
  <c r="L137" i="53" s="1"/>
  <c r="U137" i="53"/>
  <c r="U139" i="53" s="1"/>
  <c r="P137" i="53"/>
  <c r="K137" i="53"/>
  <c r="K139" i="53" s="1"/>
  <c r="J137" i="53"/>
  <c r="I137" i="53"/>
  <c r="I139" i="53" s="1"/>
  <c r="H137" i="53"/>
  <c r="G137" i="53"/>
  <c r="G139" i="53" s="1"/>
  <c r="C131" i="53"/>
  <c r="C119" i="53"/>
  <c r="C115" i="53"/>
  <c r="C107" i="53"/>
  <c r="C100" i="53" s="1"/>
  <c r="C105" i="53"/>
  <c r="D96" i="53"/>
  <c r="C96" i="53"/>
  <c r="C94" i="53" s="1"/>
  <c r="D95" i="53"/>
  <c r="D93" i="53"/>
  <c r="D92" i="53"/>
  <c r="C92" i="53"/>
  <c r="D91" i="53"/>
  <c r="D89" i="53"/>
  <c r="C89" i="53"/>
  <c r="B89" i="53" s="1"/>
  <c r="C85" i="53"/>
  <c r="AA61" i="53"/>
  <c r="AA59" i="53" s="1"/>
  <c r="AA7" i="53" s="1"/>
  <c r="H61" i="53"/>
  <c r="G61" i="53"/>
  <c r="G59" i="53" s="1"/>
  <c r="G7" i="53" s="1"/>
  <c r="AA23" i="53"/>
  <c r="Z23" i="53"/>
  <c r="Y23" i="53"/>
  <c r="X23" i="53"/>
  <c r="W23" i="53"/>
  <c r="V23" i="53"/>
  <c r="U23" i="53"/>
  <c r="T23" i="53"/>
  <c r="S23" i="53"/>
  <c r="R23" i="53"/>
  <c r="Q23" i="53"/>
  <c r="P23" i="53"/>
  <c r="O23" i="53"/>
  <c r="N23" i="53"/>
  <c r="M23" i="53"/>
  <c r="L23" i="53"/>
  <c r="K23" i="53"/>
  <c r="J23" i="53"/>
  <c r="I23" i="53"/>
  <c r="H23" i="53"/>
  <c r="G23" i="53"/>
  <c r="B94" i="53" l="1"/>
  <c r="D182" i="53"/>
  <c r="G35" i="53"/>
  <c r="C84" i="53"/>
  <c r="M138" i="53"/>
  <c r="M137" i="53" s="1"/>
  <c r="K177" i="53"/>
  <c r="L182" i="53"/>
  <c r="T182" i="53"/>
  <c r="AA177" i="53"/>
  <c r="F182" i="53"/>
  <c r="N182" i="53"/>
  <c r="V182" i="53"/>
  <c r="D107" i="53"/>
  <c r="E107" i="53" s="1"/>
  <c r="W138" i="53"/>
  <c r="X138" i="53" s="1"/>
  <c r="H182" i="53"/>
  <c r="P182" i="53"/>
  <c r="X182" i="53"/>
  <c r="AA35" i="53"/>
  <c r="R138" i="53"/>
  <c r="J182" i="53"/>
  <c r="R182" i="53"/>
  <c r="Z182" i="53"/>
  <c r="D226" i="38"/>
  <c r="E226" i="38" s="1"/>
  <c r="F226" i="38" s="1"/>
  <c r="G226" i="38" s="1"/>
  <c r="G153" i="53" s="1"/>
  <c r="K129" i="53"/>
  <c r="K25" i="53" s="1"/>
  <c r="G212" i="38"/>
  <c r="G210" i="38" s="1"/>
  <c r="C212" i="38"/>
  <c r="E210" i="38"/>
  <c r="E211" i="38"/>
  <c r="D119" i="53"/>
  <c r="E119" i="53" s="1"/>
  <c r="F119" i="53" s="1"/>
  <c r="G119" i="53" s="1"/>
  <c r="G118" i="53" s="1"/>
  <c r="D212" i="38"/>
  <c r="D115" i="53"/>
  <c r="E115" i="53" s="1"/>
  <c r="F115" i="53" s="1"/>
  <c r="G115" i="53" s="1"/>
  <c r="F212" i="38"/>
  <c r="H59" i="53"/>
  <c r="C90" i="53"/>
  <c r="B90" i="53"/>
  <c r="Z129" i="53"/>
  <c r="Q129" i="53"/>
  <c r="I129" i="53"/>
  <c r="G129" i="53"/>
  <c r="U129" i="53"/>
  <c r="H139" i="53"/>
  <c r="H129" i="53" s="1"/>
  <c r="L139" i="53"/>
  <c r="L129" i="53" s="1"/>
  <c r="W137" i="53"/>
  <c r="J139" i="53"/>
  <c r="J129" i="53" s="1"/>
  <c r="P139" i="53"/>
  <c r="P129" i="53" s="1"/>
  <c r="V139" i="53"/>
  <c r="V129" i="53" s="1"/>
  <c r="G180" i="53"/>
  <c r="H181" i="53"/>
  <c r="Z177" i="53"/>
  <c r="V177" i="53"/>
  <c r="R177" i="53"/>
  <c r="N177" i="53"/>
  <c r="J177" i="53"/>
  <c r="F177" i="53"/>
  <c r="Y177" i="53"/>
  <c r="U177" i="53"/>
  <c r="Q177" i="53"/>
  <c r="M177" i="53"/>
  <c r="I177" i="53"/>
  <c r="E177" i="53"/>
  <c r="X177" i="53"/>
  <c r="T177" i="53"/>
  <c r="P177" i="53"/>
  <c r="L177" i="53"/>
  <c r="H177" i="53"/>
  <c r="D177" i="53"/>
  <c r="S177" i="53"/>
  <c r="G177" i="53"/>
  <c r="W177" i="53"/>
  <c r="G182" i="53"/>
  <c r="K182" i="53"/>
  <c r="O182" i="53"/>
  <c r="S182" i="53"/>
  <c r="W182" i="53"/>
  <c r="AA182" i="53"/>
  <c r="E182" i="53"/>
  <c r="I182" i="53"/>
  <c r="M182" i="53"/>
  <c r="Q182" i="53"/>
  <c r="U182" i="53"/>
  <c r="B139" i="18"/>
  <c r="D139" i="18"/>
  <c r="B140" i="18"/>
  <c r="D140" i="18"/>
  <c r="B141" i="18"/>
  <c r="D141" i="18"/>
  <c r="B142" i="18"/>
  <c r="D142" i="18"/>
  <c r="B143" i="18"/>
  <c r="D143" i="18"/>
  <c r="B144" i="18"/>
  <c r="C144" i="18" s="1"/>
  <c r="D144" i="18"/>
  <c r="B145" i="18"/>
  <c r="D145" i="18"/>
  <c r="D146" i="18"/>
  <c r="C142" i="18" l="1"/>
  <c r="C140" i="18"/>
  <c r="C145" i="18"/>
  <c r="C143" i="18"/>
  <c r="C141" i="18"/>
  <c r="C139" i="18"/>
  <c r="C148" i="18" s="1"/>
  <c r="B148" i="18"/>
  <c r="D148" i="18" s="1"/>
  <c r="B149" i="18"/>
  <c r="N138" i="53"/>
  <c r="G211" i="38"/>
  <c r="G52" i="53" s="1"/>
  <c r="H212" i="38"/>
  <c r="I212" i="38" s="1"/>
  <c r="H226" i="38"/>
  <c r="H153" i="53" s="1"/>
  <c r="D100" i="53"/>
  <c r="G179" i="53"/>
  <c r="S138" i="53"/>
  <c r="R137" i="53"/>
  <c r="R139" i="53" s="1"/>
  <c r="R129" i="53" s="1"/>
  <c r="R25" i="53" s="1"/>
  <c r="H119" i="53"/>
  <c r="H118" i="53" s="1"/>
  <c r="H211" i="38"/>
  <c r="H210" i="38"/>
  <c r="F211" i="38"/>
  <c r="F210" i="38"/>
  <c r="H115" i="53"/>
  <c r="G114" i="53"/>
  <c r="G9" i="53" s="1"/>
  <c r="E52" i="53"/>
  <c r="E54" i="53" s="1"/>
  <c r="E36" i="44" s="1"/>
  <c r="E11" i="53"/>
  <c r="L25" i="53"/>
  <c r="J25" i="53"/>
  <c r="V25" i="53"/>
  <c r="I181" i="53"/>
  <c r="H180" i="53"/>
  <c r="H179" i="53" s="1"/>
  <c r="G128" i="53"/>
  <c r="G127" i="53" s="1"/>
  <c r="G25" i="53"/>
  <c r="W139" i="53"/>
  <c r="W129" i="53" s="1"/>
  <c r="H128" i="53"/>
  <c r="H127" i="53" s="1"/>
  <c r="H25" i="53"/>
  <c r="I25" i="53"/>
  <c r="H7" i="53"/>
  <c r="H35" i="53" s="1"/>
  <c r="F107" i="53"/>
  <c r="E100" i="53"/>
  <c r="M139" i="53"/>
  <c r="M129" i="53" s="1"/>
  <c r="P25" i="53"/>
  <c r="Y138" i="53"/>
  <c r="X137" i="53"/>
  <c r="Q25" i="53"/>
  <c r="N137" i="53"/>
  <c r="O138" i="53"/>
  <c r="O137" i="53" s="1"/>
  <c r="U25" i="53"/>
  <c r="Z25" i="53"/>
  <c r="I61" i="53"/>
  <c r="B146" i="18"/>
  <c r="C146" i="18" s="1"/>
  <c r="U137" i="38"/>
  <c r="U139" i="38" s="1"/>
  <c r="P137" i="38"/>
  <c r="P139" i="38" s="1"/>
  <c r="K137" i="38"/>
  <c r="K139" i="38" s="1"/>
  <c r="J137" i="38"/>
  <c r="J139" i="38" s="1"/>
  <c r="I137" i="38"/>
  <c r="I139" i="38" s="1"/>
  <c r="H137" i="38"/>
  <c r="H139" i="38" s="1"/>
  <c r="G137" i="38"/>
  <c r="G139" i="38" s="1"/>
  <c r="Q138" i="38"/>
  <c r="Q137" i="38" s="1"/>
  <c r="Q139" i="38" s="1"/>
  <c r="Z139" i="38"/>
  <c r="C149" i="18" l="1"/>
  <c r="D149" i="18" s="1"/>
  <c r="I119" i="53"/>
  <c r="J119" i="53" s="1"/>
  <c r="I226" i="38"/>
  <c r="I153" i="53" s="1"/>
  <c r="G178" i="53"/>
  <c r="G176" i="53" s="1"/>
  <c r="I59" i="53"/>
  <c r="S137" i="53"/>
  <c r="T138" i="53"/>
  <c r="T137" i="53" s="1"/>
  <c r="G47" i="53"/>
  <c r="I210" i="38"/>
  <c r="J212" i="38"/>
  <c r="I211" i="38"/>
  <c r="E13" i="53"/>
  <c r="F11" i="53"/>
  <c r="F52" i="53"/>
  <c r="F54" i="53" s="1"/>
  <c r="F36" i="44" s="1"/>
  <c r="H114" i="53"/>
  <c r="I115" i="53"/>
  <c r="H52" i="53"/>
  <c r="M25" i="53"/>
  <c r="X139" i="53"/>
  <c r="X129" i="53" s="1"/>
  <c r="G130" i="53"/>
  <c r="G125" i="53" s="1"/>
  <c r="J61" i="53"/>
  <c r="J59" i="53" s="1"/>
  <c r="Y137" i="53"/>
  <c r="AA138" i="53"/>
  <c r="AA137" i="53" s="1"/>
  <c r="H130" i="53"/>
  <c r="H125" i="53" s="1"/>
  <c r="W25" i="53"/>
  <c r="H178" i="53"/>
  <c r="H176" i="53" s="1"/>
  <c r="O139" i="53"/>
  <c r="O129" i="53" s="1"/>
  <c r="F100" i="53"/>
  <c r="G107" i="53"/>
  <c r="N139" i="53"/>
  <c r="N129" i="53" s="1"/>
  <c r="J181" i="53"/>
  <c r="I180" i="53"/>
  <c r="I179" i="53" s="1"/>
  <c r="R138" i="38"/>
  <c r="I118" i="53" l="1"/>
  <c r="J226" i="38"/>
  <c r="J153" i="53" s="1"/>
  <c r="I7" i="53"/>
  <c r="I35" i="53" s="1"/>
  <c r="I128" i="53"/>
  <c r="I127" i="53" s="1"/>
  <c r="I130" i="53" s="1"/>
  <c r="I125" i="53" s="1"/>
  <c r="T139" i="53"/>
  <c r="T129" i="53" s="1"/>
  <c r="T25" i="53" s="1"/>
  <c r="S139" i="53"/>
  <c r="S129" i="53" s="1"/>
  <c r="S25" i="53" s="1"/>
  <c r="F13" i="53"/>
  <c r="J211" i="38"/>
  <c r="K212" i="38"/>
  <c r="J210" i="38"/>
  <c r="K226" i="38"/>
  <c r="I114" i="53"/>
  <c r="J115" i="53"/>
  <c r="K115" i="53" s="1"/>
  <c r="L115" i="53" s="1"/>
  <c r="I52" i="53"/>
  <c r="H9" i="53"/>
  <c r="H47" i="53"/>
  <c r="H37" i="53"/>
  <c r="H10" i="53"/>
  <c r="H126" i="53" s="1"/>
  <c r="X25" i="53"/>
  <c r="N25" i="53"/>
  <c r="O25" i="53"/>
  <c r="AA139" i="53"/>
  <c r="AA129" i="53" s="1"/>
  <c r="J7" i="53"/>
  <c r="J35" i="53" s="1"/>
  <c r="J128" i="53"/>
  <c r="J127" i="53" s="1"/>
  <c r="G37" i="53"/>
  <c r="G10" i="53"/>
  <c r="G126" i="53" s="1"/>
  <c r="H107" i="53"/>
  <c r="G100" i="53"/>
  <c r="G81" i="53" s="1"/>
  <c r="G77" i="53" s="1"/>
  <c r="G73" i="53" s="1"/>
  <c r="I178" i="53"/>
  <c r="I176" i="53" s="1"/>
  <c r="J180" i="53"/>
  <c r="J179" i="53" s="1"/>
  <c r="K181" i="53"/>
  <c r="Y139" i="53"/>
  <c r="Y129" i="53" s="1"/>
  <c r="K61" i="53"/>
  <c r="K59" i="53" s="1"/>
  <c r="L61" i="53"/>
  <c r="K153" i="53"/>
  <c r="J118" i="53"/>
  <c r="K119" i="53"/>
  <c r="S138" i="38"/>
  <c r="R137" i="38"/>
  <c r="R139" i="38" s="1"/>
  <c r="I47" i="53" l="1"/>
  <c r="J52" i="53"/>
  <c r="I9" i="53"/>
  <c r="J114" i="53"/>
  <c r="J47" i="53" s="1"/>
  <c r="K211" i="38"/>
  <c r="K210" i="38"/>
  <c r="L212" i="38"/>
  <c r="L226" i="38"/>
  <c r="K7" i="53"/>
  <c r="K35" i="53" s="1"/>
  <c r="K128" i="53"/>
  <c r="K127" i="53" s="1"/>
  <c r="K114" i="53"/>
  <c r="I10" i="53"/>
  <c r="I126" i="53" s="1"/>
  <c r="I37" i="53"/>
  <c r="AA128" i="53"/>
  <c r="AA127" i="53" s="1"/>
  <c r="AA25" i="53"/>
  <c r="Y25" i="53"/>
  <c r="L59" i="53"/>
  <c r="L114" i="53" s="1"/>
  <c r="K118" i="53"/>
  <c r="L119" i="53"/>
  <c r="K180" i="53"/>
  <c r="K179" i="53" s="1"/>
  <c r="L181" i="53"/>
  <c r="I107" i="53"/>
  <c r="H100" i="53"/>
  <c r="H81" i="53" s="1"/>
  <c r="H77" i="53" s="1"/>
  <c r="H73" i="53" s="1"/>
  <c r="M115" i="53"/>
  <c r="J178" i="53"/>
  <c r="J176" i="53" s="1"/>
  <c r="J130" i="53"/>
  <c r="J125" i="53" s="1"/>
  <c r="T138" i="38"/>
  <c r="T137" i="38" s="1"/>
  <c r="T139" i="38" s="1"/>
  <c r="S137" i="38"/>
  <c r="S139" i="38" s="1"/>
  <c r="J9" i="53" l="1"/>
  <c r="K52" i="53"/>
  <c r="M226" i="38"/>
  <c r="M153" i="53" s="1"/>
  <c r="M212" i="38"/>
  <c r="L211" i="38"/>
  <c r="L210" i="38"/>
  <c r="L153" i="53"/>
  <c r="J10" i="53"/>
  <c r="J126" i="53" s="1"/>
  <c r="J37" i="53"/>
  <c r="M181" i="53"/>
  <c r="L180" i="53"/>
  <c r="L179" i="53" s="1"/>
  <c r="L7" i="53"/>
  <c r="L35" i="53" s="1"/>
  <c r="L128" i="53"/>
  <c r="L127" i="53" s="1"/>
  <c r="K178" i="53"/>
  <c r="K176" i="53" s="1"/>
  <c r="M119" i="53"/>
  <c r="L118" i="53"/>
  <c r="L47" i="53" s="1"/>
  <c r="M61" i="53"/>
  <c r="AA130" i="53"/>
  <c r="AA125" i="53" s="1"/>
  <c r="K47" i="53"/>
  <c r="K9" i="53"/>
  <c r="K130" i="53"/>
  <c r="K125" i="53" s="1"/>
  <c r="N115" i="53"/>
  <c r="J107" i="53"/>
  <c r="I100" i="53"/>
  <c r="I81" i="53" s="1"/>
  <c r="I77" i="53" s="1"/>
  <c r="I73" i="53" s="1"/>
  <c r="C86" i="18"/>
  <c r="C48" i="18"/>
  <c r="L52" i="53" l="1"/>
  <c r="M210" i="38"/>
  <c r="N212" i="38"/>
  <c r="M211" i="38"/>
  <c r="L9" i="53"/>
  <c r="N226" i="38"/>
  <c r="N153" i="53" s="1"/>
  <c r="K37" i="53"/>
  <c r="K10" i="53"/>
  <c r="K126" i="53" s="1"/>
  <c r="AA37" i="53"/>
  <c r="AA10" i="53"/>
  <c r="AA126" i="53" s="1"/>
  <c r="N61" i="53"/>
  <c r="N59" i="53" s="1"/>
  <c r="N114" i="53" s="1"/>
  <c r="O115" i="53"/>
  <c r="L130" i="53"/>
  <c r="L125" i="53" s="1"/>
  <c r="L178" i="53"/>
  <c r="L176" i="53" s="1"/>
  <c r="J100" i="53"/>
  <c r="J81" i="53" s="1"/>
  <c r="J77" i="53" s="1"/>
  <c r="J73" i="53" s="1"/>
  <c r="K107" i="53"/>
  <c r="M59" i="53"/>
  <c r="M180" i="53" s="1"/>
  <c r="M179" i="53" s="1"/>
  <c r="N119" i="53"/>
  <c r="N181" i="53"/>
  <c r="F69" i="16"/>
  <c r="F68" i="16"/>
  <c r="M118" i="53" l="1"/>
  <c r="O226" i="38"/>
  <c r="O153" i="53" s="1"/>
  <c r="N211" i="38"/>
  <c r="N210" i="38"/>
  <c r="O212" i="38"/>
  <c r="M52" i="53"/>
  <c r="N118" i="53"/>
  <c r="N9" i="53" s="1"/>
  <c r="O119" i="53"/>
  <c r="P115" i="53"/>
  <c r="M178" i="53"/>
  <c r="M176" i="53" s="1"/>
  <c r="M7" i="53"/>
  <c r="M35" i="53" s="1"/>
  <c r="M128" i="53"/>
  <c r="M127" i="53" s="1"/>
  <c r="M114" i="53"/>
  <c r="N180" i="53"/>
  <c r="N179" i="53" s="1"/>
  <c r="O181" i="53"/>
  <c r="K100" i="53"/>
  <c r="K81" i="53" s="1"/>
  <c r="K77" i="53" s="1"/>
  <c r="K73" i="53" s="1"/>
  <c r="L107" i="53"/>
  <c r="N7" i="53"/>
  <c r="N35" i="53" s="1"/>
  <c r="N128" i="53"/>
  <c r="N127" i="53" s="1"/>
  <c r="O61" i="53"/>
  <c r="L37" i="53"/>
  <c r="L10" i="53"/>
  <c r="L126" i="53" s="1"/>
  <c r="B4" i="1"/>
  <c r="N47" i="53" l="1"/>
  <c r="O211" i="38"/>
  <c r="P212" i="38"/>
  <c r="O210" i="38"/>
  <c r="N52" i="53"/>
  <c r="P226" i="38"/>
  <c r="P61" i="53"/>
  <c r="P59" i="53" s="1"/>
  <c r="M107" i="53"/>
  <c r="L100" i="53"/>
  <c r="L81" i="53" s="1"/>
  <c r="L77" i="53" s="1"/>
  <c r="L73" i="53" s="1"/>
  <c r="M47" i="53"/>
  <c r="M9" i="53"/>
  <c r="P119" i="53"/>
  <c r="N130" i="53"/>
  <c r="N125" i="53" s="1"/>
  <c r="P181" i="53"/>
  <c r="Q115" i="53"/>
  <c r="M130" i="53"/>
  <c r="M125" i="53" s="1"/>
  <c r="O59" i="53"/>
  <c r="O118" i="53" s="1"/>
  <c r="N178" i="53"/>
  <c r="N176" i="53" s="1"/>
  <c r="C84" i="18"/>
  <c r="C85" i="18" s="1"/>
  <c r="C79" i="18"/>
  <c r="C107" i="18"/>
  <c r="C68" i="16" s="1"/>
  <c r="C108" i="18"/>
  <c r="C109" i="18" s="1"/>
  <c r="C110" i="18" s="1"/>
  <c r="C111" i="18" s="1"/>
  <c r="C69" i="16" s="1"/>
  <c r="C96" i="18"/>
  <c r="G69" i="16" s="1"/>
  <c r="C69" i="18"/>
  <c r="C70" i="18" s="1"/>
  <c r="D68" i="16" s="1"/>
  <c r="Y157" i="53" l="1"/>
  <c r="Y156" i="53" s="1"/>
  <c r="U157" i="53"/>
  <c r="U156" i="53" s="1"/>
  <c r="Q157" i="53"/>
  <c r="Q156" i="53" s="1"/>
  <c r="M157" i="53"/>
  <c r="I157" i="53"/>
  <c r="X157" i="53"/>
  <c r="X156" i="53" s="1"/>
  <c r="T157" i="53"/>
  <c r="T156" i="53" s="1"/>
  <c r="P157" i="53"/>
  <c r="P156" i="53" s="1"/>
  <c r="L157" i="53"/>
  <c r="H157" i="53"/>
  <c r="AA157" i="53"/>
  <c r="W157" i="53"/>
  <c r="W156" i="53" s="1"/>
  <c r="S157" i="53"/>
  <c r="S156" i="53" s="1"/>
  <c r="O157" i="53"/>
  <c r="K157" i="53"/>
  <c r="G157" i="53"/>
  <c r="Z157" i="53"/>
  <c r="Z156" i="53" s="1"/>
  <c r="V157" i="53"/>
  <c r="V156" i="53" s="1"/>
  <c r="R157" i="53"/>
  <c r="R156" i="53" s="1"/>
  <c r="N157" i="53"/>
  <c r="J157" i="53"/>
  <c r="Q212" i="38"/>
  <c r="P210" i="38"/>
  <c r="P211" i="38"/>
  <c r="Q226" i="38"/>
  <c r="Q153" i="53" s="1"/>
  <c r="P153" i="53"/>
  <c r="O52" i="53"/>
  <c r="N10" i="53"/>
  <c r="N126" i="53" s="1"/>
  <c r="N37" i="53"/>
  <c r="P7" i="53"/>
  <c r="P35" i="53" s="1"/>
  <c r="P128" i="53"/>
  <c r="P127" i="53" s="1"/>
  <c r="P114" i="53"/>
  <c r="O7" i="53"/>
  <c r="O35" i="53" s="1"/>
  <c r="O128" i="53"/>
  <c r="O127" i="53" s="1"/>
  <c r="O114" i="53"/>
  <c r="M37" i="53"/>
  <c r="M10" i="53"/>
  <c r="M126" i="53" s="1"/>
  <c r="O180" i="53"/>
  <c r="O179" i="53" s="1"/>
  <c r="Q119" i="53"/>
  <c r="P118" i="53"/>
  <c r="R115" i="53"/>
  <c r="Q61" i="53"/>
  <c r="Q181" i="53"/>
  <c r="P180" i="53"/>
  <c r="P179" i="53" s="1"/>
  <c r="N107" i="53"/>
  <c r="M100" i="53"/>
  <c r="M81" i="53" s="1"/>
  <c r="M77" i="53" s="1"/>
  <c r="M73" i="53" s="1"/>
  <c r="C87" i="18"/>
  <c r="C88" i="18" s="1"/>
  <c r="E68" i="16" s="1"/>
  <c r="N156" i="53" l="1"/>
  <c r="N155" i="53"/>
  <c r="M156" i="53"/>
  <c r="M155" i="53"/>
  <c r="P155" i="53"/>
  <c r="K156" i="53"/>
  <c r="K155" i="53"/>
  <c r="AA155" i="53"/>
  <c r="AA156" i="53"/>
  <c r="O156" i="53"/>
  <c r="O155" i="53"/>
  <c r="H156" i="53"/>
  <c r="H155" i="53"/>
  <c r="G156" i="53"/>
  <c r="G155" i="53"/>
  <c r="J156" i="53"/>
  <c r="J155" i="53"/>
  <c r="L156" i="53"/>
  <c r="L155" i="53"/>
  <c r="I156" i="53"/>
  <c r="I155" i="53"/>
  <c r="AA158" i="53"/>
  <c r="W158" i="53"/>
  <c r="S158" i="53"/>
  <c r="O158" i="53"/>
  <c r="K158" i="53"/>
  <c r="G158" i="53"/>
  <c r="Z158" i="53"/>
  <c r="V158" i="53"/>
  <c r="R158" i="53"/>
  <c r="N158" i="53"/>
  <c r="J158" i="53"/>
  <c r="Y158" i="53"/>
  <c r="U158" i="53"/>
  <c r="Q158" i="53"/>
  <c r="Q28" i="53" s="1"/>
  <c r="M158" i="53"/>
  <c r="I158" i="53"/>
  <c r="X158" i="53"/>
  <c r="T158" i="53"/>
  <c r="P158" i="53"/>
  <c r="P28" i="53" s="1"/>
  <c r="L158" i="53"/>
  <c r="H158" i="53"/>
  <c r="P52" i="53"/>
  <c r="R226" i="38"/>
  <c r="R153" i="53" s="1"/>
  <c r="Q210" i="38"/>
  <c r="R212" i="38"/>
  <c r="Q211" i="38"/>
  <c r="Q155" i="53"/>
  <c r="S115" i="53"/>
  <c r="P178" i="53"/>
  <c r="P176" i="53" s="1"/>
  <c r="Q59" i="53"/>
  <c r="R181" i="53"/>
  <c r="R61" i="53"/>
  <c r="R59" i="53" s="1"/>
  <c r="O178" i="53"/>
  <c r="O176" i="53" s="1"/>
  <c r="N100" i="53"/>
  <c r="N81" i="53" s="1"/>
  <c r="N77" i="53" s="1"/>
  <c r="N73" i="53" s="1"/>
  <c r="O107" i="53"/>
  <c r="O130" i="53"/>
  <c r="O125" i="53" s="1"/>
  <c r="P47" i="53"/>
  <c r="P9" i="53"/>
  <c r="P130" i="53"/>
  <c r="P125" i="53" s="1"/>
  <c r="O47" i="53"/>
  <c r="O9" i="53"/>
  <c r="R119" i="53"/>
  <c r="N16" i="48"/>
  <c r="I11" i="50"/>
  <c r="H11" i="50"/>
  <c r="G11" i="50"/>
  <c r="F11" i="50"/>
  <c r="E11" i="50"/>
  <c r="D11" i="50"/>
  <c r="C11" i="50"/>
  <c r="B11" i="50"/>
  <c r="C31" i="49"/>
  <c r="C236" i="38" s="1"/>
  <c r="C29" i="49"/>
  <c r="C27" i="49"/>
  <c r="C26" i="49"/>
  <c r="C24" i="49"/>
  <c r="E24" i="49" s="1"/>
  <c r="C23" i="49"/>
  <c r="C22" i="49"/>
  <c r="C21" i="49"/>
  <c r="E21" i="49" s="1"/>
  <c r="C19" i="49"/>
  <c r="E19" i="49" s="1"/>
  <c r="C17" i="49"/>
  <c r="C16" i="49"/>
  <c r="C15" i="49"/>
  <c r="E15" i="49" s="1"/>
  <c r="C14" i="49"/>
  <c r="C13" i="49"/>
  <c r="C12" i="49"/>
  <c r="E12" i="49" s="1"/>
  <c r="C11" i="49"/>
  <c r="C10" i="49"/>
  <c r="E10" i="49" s="1"/>
  <c r="C8" i="49"/>
  <c r="C7" i="49"/>
  <c r="C202" i="53" s="1"/>
  <c r="C6" i="49"/>
  <c r="O16" i="48"/>
  <c r="F9" i="1"/>
  <c r="D8" i="1"/>
  <c r="F8" i="1" s="1"/>
  <c r="E8" i="1"/>
  <c r="C8" i="1"/>
  <c r="Q52" i="53" l="1"/>
  <c r="Q154" i="53"/>
  <c r="Q152" i="53" s="1"/>
  <c r="AA154" i="53"/>
  <c r="L154" i="53"/>
  <c r="L152" i="53" s="1"/>
  <c r="L28" i="53"/>
  <c r="I154" i="53"/>
  <c r="I152" i="53" s="1"/>
  <c r="I28" i="53"/>
  <c r="O28" i="53"/>
  <c r="O154" i="53"/>
  <c r="O152" i="53" s="1"/>
  <c r="M28" i="53"/>
  <c r="M154" i="53"/>
  <c r="M152" i="53" s="1"/>
  <c r="J28" i="53"/>
  <c r="J154" i="53"/>
  <c r="J152" i="53" s="1"/>
  <c r="P154" i="53"/>
  <c r="P152" i="53" s="1"/>
  <c r="P40" i="53" s="1"/>
  <c r="P29" i="53" s="1"/>
  <c r="N28" i="53"/>
  <c r="N154" i="53"/>
  <c r="N152" i="53" s="1"/>
  <c r="G28" i="53"/>
  <c r="G154" i="53"/>
  <c r="G152" i="53" s="1"/>
  <c r="H154" i="53"/>
  <c r="H152" i="53" s="1"/>
  <c r="H28" i="53"/>
  <c r="K28" i="53"/>
  <c r="K154" i="53"/>
  <c r="K152" i="53" s="1"/>
  <c r="Q40" i="53"/>
  <c r="S226" i="38"/>
  <c r="S153" i="53" s="1"/>
  <c r="R28" i="53"/>
  <c r="Y202" i="53"/>
  <c r="Z202" i="53"/>
  <c r="J202" i="53"/>
  <c r="V202" i="53"/>
  <c r="F202" i="53"/>
  <c r="R202" i="53"/>
  <c r="N202" i="53"/>
  <c r="K202" i="53"/>
  <c r="AA202" i="53"/>
  <c r="P202" i="53"/>
  <c r="E202" i="53"/>
  <c r="U202" i="53"/>
  <c r="D202" i="53"/>
  <c r="W202" i="53"/>
  <c r="O202" i="53"/>
  <c r="T202" i="53"/>
  <c r="I202" i="53"/>
  <c r="Q202" i="53"/>
  <c r="Q201" i="53" s="1"/>
  <c r="S202" i="53"/>
  <c r="H202" i="53"/>
  <c r="X202" i="53"/>
  <c r="M202" i="53"/>
  <c r="G202" i="53"/>
  <c r="L202" i="53"/>
  <c r="E31" i="49"/>
  <c r="E236" i="38"/>
  <c r="I236" i="38"/>
  <c r="M236" i="38"/>
  <c r="Q236" i="38"/>
  <c r="U236" i="38"/>
  <c r="Y236" i="38"/>
  <c r="AA236" i="38"/>
  <c r="F236" i="38"/>
  <c r="J236" i="38"/>
  <c r="N236" i="38"/>
  <c r="R236" i="38"/>
  <c r="V236" i="38"/>
  <c r="Z236" i="38"/>
  <c r="K236" i="38"/>
  <c r="S236" i="38"/>
  <c r="D236" i="38"/>
  <c r="H236" i="38"/>
  <c r="L236" i="38"/>
  <c r="P236" i="38"/>
  <c r="T236" i="38"/>
  <c r="X236" i="38"/>
  <c r="G236" i="38"/>
  <c r="O236" i="38"/>
  <c r="W236" i="38"/>
  <c r="R211" i="38"/>
  <c r="S212" i="38"/>
  <c r="R210" i="38"/>
  <c r="O37" i="53"/>
  <c r="O10" i="53"/>
  <c r="O126" i="53" s="1"/>
  <c r="R201" i="53"/>
  <c r="R7" i="53"/>
  <c r="R35" i="53" s="1"/>
  <c r="R128" i="53"/>
  <c r="R127" i="53" s="1"/>
  <c r="R114" i="53"/>
  <c r="R118" i="53"/>
  <c r="S119" i="53"/>
  <c r="R180" i="53"/>
  <c r="R179" i="53" s="1"/>
  <c r="S181" i="53"/>
  <c r="T115" i="53"/>
  <c r="P37" i="53"/>
  <c r="P10" i="53"/>
  <c r="P126" i="53" s="1"/>
  <c r="S61" i="53"/>
  <c r="Q7" i="53"/>
  <c r="Q35" i="53" s="1"/>
  <c r="Q128" i="53"/>
  <c r="Q127" i="53" s="1"/>
  <c r="Q114" i="53"/>
  <c r="P107" i="53"/>
  <c r="O100" i="53"/>
  <c r="O81" i="53" s="1"/>
  <c r="O77" i="53" s="1"/>
  <c r="O73" i="53" s="1"/>
  <c r="Q118" i="53"/>
  <c r="R155" i="53"/>
  <c r="R154" i="53" s="1"/>
  <c r="R152" i="53" s="1"/>
  <c r="Q180" i="53"/>
  <c r="Q179" i="53" s="1"/>
  <c r="Q43" i="53" l="1"/>
  <c r="Q44" i="53" s="1"/>
  <c r="Q31" i="53"/>
  <c r="Q32" i="53" s="1"/>
  <c r="K40" i="53"/>
  <c r="K41" i="53" s="1"/>
  <c r="G40" i="53"/>
  <c r="G41" i="53" s="1"/>
  <c r="J40" i="53"/>
  <c r="J41" i="53" s="1"/>
  <c r="O40" i="53"/>
  <c r="O41" i="53" s="1"/>
  <c r="P41" i="53"/>
  <c r="R40" i="53"/>
  <c r="R43" i="53" s="1"/>
  <c r="R44" i="53" s="1"/>
  <c r="H40" i="53"/>
  <c r="H41" i="53" s="1"/>
  <c r="M40" i="53"/>
  <c r="M41" i="53" s="1"/>
  <c r="I40" i="53"/>
  <c r="I41" i="53" s="1"/>
  <c r="N40" i="53"/>
  <c r="N41" i="53" s="1"/>
  <c r="L40" i="53"/>
  <c r="L41" i="53" s="1"/>
  <c r="R52" i="53"/>
  <c r="E12" i="53"/>
  <c r="M201" i="53"/>
  <c r="P201" i="53"/>
  <c r="P31" i="53"/>
  <c r="P32" i="53" s="1"/>
  <c r="P43" i="53"/>
  <c r="P44" i="53" s="1"/>
  <c r="F12" i="53"/>
  <c r="C169" i="38"/>
  <c r="C169" i="53"/>
  <c r="I201" i="53"/>
  <c r="AA201" i="53"/>
  <c r="L201" i="53"/>
  <c r="H201" i="53"/>
  <c r="K201" i="53"/>
  <c r="K43" i="53"/>
  <c r="K44" i="53" s="1"/>
  <c r="S210" i="38"/>
  <c r="S211" i="38"/>
  <c r="T212" i="38"/>
  <c r="G201" i="53"/>
  <c r="O43" i="53"/>
  <c r="O44" i="53" s="1"/>
  <c r="O201" i="53"/>
  <c r="O31" i="53"/>
  <c r="O32" i="53" s="1"/>
  <c r="N201" i="53"/>
  <c r="J201" i="53"/>
  <c r="T226" i="38"/>
  <c r="T153" i="53" s="1"/>
  <c r="S28" i="53"/>
  <c r="T61" i="53"/>
  <c r="T59" i="53" s="1"/>
  <c r="Q47" i="53"/>
  <c r="Q9" i="53"/>
  <c r="S155" i="53"/>
  <c r="S154" i="53" s="1"/>
  <c r="S152" i="53" s="1"/>
  <c r="T119" i="53"/>
  <c r="R130" i="53"/>
  <c r="R125" i="53" s="1"/>
  <c r="T181" i="53"/>
  <c r="Q178" i="53"/>
  <c r="Q176" i="53" s="1"/>
  <c r="Q130" i="53"/>
  <c r="Q125" i="53" s="1"/>
  <c r="S59" i="53"/>
  <c r="S118" i="53" s="1"/>
  <c r="R178" i="53"/>
  <c r="R176" i="53" s="1"/>
  <c r="R47" i="53"/>
  <c r="R9" i="53"/>
  <c r="Q107" i="53"/>
  <c r="P100" i="53"/>
  <c r="P81" i="53" s="1"/>
  <c r="P77" i="53" s="1"/>
  <c r="P73" i="53" s="1"/>
  <c r="U115" i="53"/>
  <c r="C37" i="18"/>
  <c r="C27" i="18"/>
  <c r="C59" i="18"/>
  <c r="C60" i="18" s="1"/>
  <c r="C45" i="18"/>
  <c r="C49" i="18" s="1"/>
  <c r="H20" i="38"/>
  <c r="I20" i="38"/>
  <c r="J20" i="38"/>
  <c r="K20" i="38"/>
  <c r="L20" i="38"/>
  <c r="M20" i="38"/>
  <c r="N20" i="38"/>
  <c r="O20" i="38"/>
  <c r="P20" i="38"/>
  <c r="Q20" i="38"/>
  <c r="R20" i="38"/>
  <c r="S20" i="38"/>
  <c r="T20" i="38"/>
  <c r="U20" i="38"/>
  <c r="V20" i="38"/>
  <c r="W20" i="38"/>
  <c r="X20" i="38"/>
  <c r="Y20" i="38"/>
  <c r="Z20" i="38"/>
  <c r="AA20" i="38"/>
  <c r="G20" i="38"/>
  <c r="F113" i="16"/>
  <c r="C113" i="16"/>
  <c r="K31" i="53" l="1"/>
  <c r="K32" i="53" s="1"/>
  <c r="M43" i="53"/>
  <c r="M44" i="53" s="1"/>
  <c r="N31" i="53"/>
  <c r="N32" i="53" s="1"/>
  <c r="K29" i="53"/>
  <c r="G31" i="53"/>
  <c r="G32" i="53" s="1"/>
  <c r="G29" i="53"/>
  <c r="J29" i="53"/>
  <c r="R31" i="53"/>
  <c r="R32" i="53" s="1"/>
  <c r="J31" i="53"/>
  <c r="J32" i="53" s="1"/>
  <c r="G43" i="53"/>
  <c r="G44" i="53" s="1"/>
  <c r="H43" i="53"/>
  <c r="H44" i="53" s="1"/>
  <c r="J43" i="53"/>
  <c r="J44" i="53" s="1"/>
  <c r="H31" i="53"/>
  <c r="H32" i="53" s="1"/>
  <c r="H29" i="53"/>
  <c r="M31" i="53"/>
  <c r="M32" i="53" s="1"/>
  <c r="L43" i="53"/>
  <c r="L44" i="53" s="1"/>
  <c r="M29" i="53"/>
  <c r="O29" i="53"/>
  <c r="N43" i="53"/>
  <c r="N44" i="53" s="1"/>
  <c r="I31" i="53"/>
  <c r="I32" i="53" s="1"/>
  <c r="L29" i="53"/>
  <c r="I43" i="53"/>
  <c r="I44" i="53" s="1"/>
  <c r="I29" i="53"/>
  <c r="L31" i="53"/>
  <c r="L32" i="53" s="1"/>
  <c r="N29" i="53"/>
  <c r="S40" i="53"/>
  <c r="S43" i="53" s="1"/>
  <c r="S44" i="53" s="1"/>
  <c r="T28" i="53"/>
  <c r="U226" i="38"/>
  <c r="U153" i="53" s="1"/>
  <c r="U212" i="38"/>
  <c r="T211" i="38"/>
  <c r="T210" i="38"/>
  <c r="C204" i="53"/>
  <c r="C168" i="53"/>
  <c r="C166" i="53" s="1"/>
  <c r="S52" i="53"/>
  <c r="C204" i="38"/>
  <c r="C168" i="38"/>
  <c r="T201" i="53"/>
  <c r="T7" i="53"/>
  <c r="T35" i="53" s="1"/>
  <c r="T128" i="53"/>
  <c r="T127" i="53" s="1"/>
  <c r="T114" i="53"/>
  <c r="Q37" i="53"/>
  <c r="Q10" i="53"/>
  <c r="Q126" i="53" s="1"/>
  <c r="S180" i="53"/>
  <c r="S179" i="53" s="1"/>
  <c r="R107" i="53"/>
  <c r="Q100" i="53"/>
  <c r="Q81" i="53" s="1"/>
  <c r="Q77" i="53" s="1"/>
  <c r="Q73" i="53" s="1"/>
  <c r="U119" i="53"/>
  <c r="T118" i="53"/>
  <c r="R29" i="53"/>
  <c r="R41" i="53"/>
  <c r="Q41" i="53"/>
  <c r="Q29" i="53"/>
  <c r="S201" i="53"/>
  <c r="S7" i="53"/>
  <c r="S35" i="53" s="1"/>
  <c r="S128" i="53"/>
  <c r="S127" i="53" s="1"/>
  <c r="S114" i="53"/>
  <c r="U181" i="53"/>
  <c r="T180" i="53"/>
  <c r="T179" i="53" s="1"/>
  <c r="U61" i="53"/>
  <c r="V115" i="53"/>
  <c r="R10" i="53"/>
  <c r="R126" i="53" s="1"/>
  <c r="R37" i="53"/>
  <c r="T155" i="53"/>
  <c r="T154" i="53" s="1"/>
  <c r="T152" i="53" s="1"/>
  <c r="T40" i="53" l="1"/>
  <c r="S31" i="53"/>
  <c r="S32" i="53" s="1"/>
  <c r="T52" i="53"/>
  <c r="R166" i="53"/>
  <c r="R165" i="53" s="1"/>
  <c r="R164" i="53" s="1"/>
  <c r="Y166" i="53"/>
  <c r="T166" i="53"/>
  <c r="T165" i="53" s="1"/>
  <c r="T164" i="53" s="1"/>
  <c r="T42" i="53" s="1"/>
  <c r="D166" i="53"/>
  <c r="W166" i="53"/>
  <c r="O166" i="53"/>
  <c r="O165" i="53" s="1"/>
  <c r="O164" i="53" s="1"/>
  <c r="N166" i="53"/>
  <c r="N165" i="53" s="1"/>
  <c r="N164" i="53" s="1"/>
  <c r="U166" i="53"/>
  <c r="U165" i="53" s="1"/>
  <c r="U164" i="53" s="1"/>
  <c r="P166" i="53"/>
  <c r="P165" i="53" s="1"/>
  <c r="P164" i="53" s="1"/>
  <c r="AA166" i="53"/>
  <c r="AA165" i="53" s="1"/>
  <c r="K166" i="53"/>
  <c r="K165" i="53" s="1"/>
  <c r="K164" i="53" s="1"/>
  <c r="G166" i="53"/>
  <c r="G165" i="53" s="1"/>
  <c r="G164" i="53" s="1"/>
  <c r="Z166" i="53"/>
  <c r="J166" i="53"/>
  <c r="J165" i="53" s="1"/>
  <c r="J164" i="53" s="1"/>
  <c r="Q166" i="53"/>
  <c r="Q165" i="53" s="1"/>
  <c r="Q164" i="53" s="1"/>
  <c r="L166" i="53"/>
  <c r="L165" i="53" s="1"/>
  <c r="L164" i="53" s="1"/>
  <c r="M166" i="53"/>
  <c r="M165" i="53" s="1"/>
  <c r="M164" i="53" s="1"/>
  <c r="S166" i="53"/>
  <c r="S165" i="53" s="1"/>
  <c r="S164" i="53" s="1"/>
  <c r="V166" i="53"/>
  <c r="F166" i="53"/>
  <c r="X166" i="53"/>
  <c r="H166" i="53"/>
  <c r="H165" i="53" s="1"/>
  <c r="H164" i="53" s="1"/>
  <c r="E166" i="53"/>
  <c r="I166" i="53"/>
  <c r="I165" i="53" s="1"/>
  <c r="I164" i="53" s="1"/>
  <c r="V226" i="38"/>
  <c r="V153" i="53" s="1"/>
  <c r="U28" i="53"/>
  <c r="O204" i="53"/>
  <c r="V204" i="53"/>
  <c r="F204" i="53"/>
  <c r="M204" i="53"/>
  <c r="H204" i="53"/>
  <c r="P204" i="53"/>
  <c r="AA204" i="53"/>
  <c r="K204" i="53"/>
  <c r="R204" i="53"/>
  <c r="Y204" i="53"/>
  <c r="I204" i="53"/>
  <c r="T204" i="53"/>
  <c r="S204" i="53"/>
  <c r="J204" i="53"/>
  <c r="X204" i="53"/>
  <c r="W204" i="53"/>
  <c r="G204" i="53"/>
  <c r="N204" i="53"/>
  <c r="U204" i="53"/>
  <c r="E204" i="53"/>
  <c r="D204" i="53"/>
  <c r="L204" i="53"/>
  <c r="Z204" i="53"/>
  <c r="Q204" i="53"/>
  <c r="U210" i="38"/>
  <c r="V212" i="38"/>
  <c r="U211" i="38"/>
  <c r="W115" i="53"/>
  <c r="T178" i="53"/>
  <c r="T176" i="53" s="1"/>
  <c r="U155" i="53"/>
  <c r="U154" i="53" s="1"/>
  <c r="U152" i="53" s="1"/>
  <c r="S47" i="53"/>
  <c r="S9" i="53"/>
  <c r="S130" i="53"/>
  <c r="S125" i="53" s="1"/>
  <c r="U59" i="53"/>
  <c r="U180" i="53" s="1"/>
  <c r="U179" i="53" s="1"/>
  <c r="S178" i="53"/>
  <c r="S176" i="53" s="1"/>
  <c r="T130" i="53"/>
  <c r="T125" i="53" s="1"/>
  <c r="V61" i="53"/>
  <c r="V59" i="53" s="1"/>
  <c r="V119" i="53"/>
  <c r="T43" i="53"/>
  <c r="T44" i="53" s="1"/>
  <c r="V181" i="53"/>
  <c r="R100" i="53"/>
  <c r="R81" i="53" s="1"/>
  <c r="R77" i="53" s="1"/>
  <c r="R73" i="53" s="1"/>
  <c r="S107" i="53"/>
  <c r="T47" i="53"/>
  <c r="T9" i="53"/>
  <c r="T31" i="53"/>
  <c r="T32" i="53" s="1"/>
  <c r="U40" i="53" l="1"/>
  <c r="U31" i="53" s="1"/>
  <c r="U32" i="53" s="1"/>
  <c r="T30" i="53"/>
  <c r="Q203" i="53"/>
  <c r="Q200" i="53" s="1"/>
  <c r="Q50" i="53"/>
  <c r="T203" i="53"/>
  <c r="T200" i="53" s="1"/>
  <c r="T50" i="53"/>
  <c r="K203" i="53"/>
  <c r="K200" i="53" s="1"/>
  <c r="K50" i="53"/>
  <c r="M50" i="53"/>
  <c r="M203" i="53"/>
  <c r="M200" i="53" s="1"/>
  <c r="Q42" i="53"/>
  <c r="Q39" i="53" s="1"/>
  <c r="Q38" i="53" s="1"/>
  <c r="Q30" i="53"/>
  <c r="Q27" i="53" s="1"/>
  <c r="Q26" i="53" s="1"/>
  <c r="K30" i="53"/>
  <c r="K27" i="53" s="1"/>
  <c r="K26" i="53" s="1"/>
  <c r="K42" i="53"/>
  <c r="K39" i="53" s="1"/>
  <c r="K38" i="53" s="1"/>
  <c r="N42" i="53"/>
  <c r="N39" i="53" s="1"/>
  <c r="N38" i="53" s="1"/>
  <c r="N30" i="53"/>
  <c r="N27" i="53" s="1"/>
  <c r="N26" i="53" s="1"/>
  <c r="I203" i="53"/>
  <c r="I200" i="53" s="1"/>
  <c r="I50" i="53"/>
  <c r="AA50" i="53"/>
  <c r="AA203" i="53"/>
  <c r="AA200" i="53" s="1"/>
  <c r="H42" i="53"/>
  <c r="H39" i="53" s="1"/>
  <c r="H38" i="53" s="1"/>
  <c r="H30" i="53"/>
  <c r="H27" i="53" s="1"/>
  <c r="H26" i="53" s="1"/>
  <c r="S30" i="53"/>
  <c r="S42" i="53"/>
  <c r="J42" i="53"/>
  <c r="J39" i="53" s="1"/>
  <c r="J38" i="53" s="1"/>
  <c r="J30" i="53"/>
  <c r="J27" i="53" s="1"/>
  <c r="J26" i="53" s="1"/>
  <c r="O42" i="53"/>
  <c r="O39" i="53" s="1"/>
  <c r="O38" i="53" s="1"/>
  <c r="O30" i="53"/>
  <c r="O27" i="53" s="1"/>
  <c r="O26" i="53" s="1"/>
  <c r="V211" i="38"/>
  <c r="V210" i="38"/>
  <c r="W212" i="38"/>
  <c r="L203" i="53"/>
  <c r="L200" i="53" s="1"/>
  <c r="L50" i="53"/>
  <c r="N203" i="53"/>
  <c r="N200" i="53" s="1"/>
  <c r="N50" i="53"/>
  <c r="J50" i="53"/>
  <c r="J203" i="53"/>
  <c r="J200" i="53" s="1"/>
  <c r="P203" i="53"/>
  <c r="P200" i="53" s="1"/>
  <c r="P50" i="53"/>
  <c r="W226" i="38"/>
  <c r="V28" i="53"/>
  <c r="M30" i="53"/>
  <c r="M27" i="53" s="1"/>
  <c r="M26" i="53" s="1"/>
  <c r="M42" i="53"/>
  <c r="M39" i="53" s="1"/>
  <c r="M38" i="53" s="1"/>
  <c r="P42" i="53"/>
  <c r="P39" i="53" s="1"/>
  <c r="P38" i="53" s="1"/>
  <c r="P30" i="53"/>
  <c r="P27" i="53" s="1"/>
  <c r="P26" i="53" s="1"/>
  <c r="R30" i="53"/>
  <c r="R27" i="53" s="1"/>
  <c r="R26" i="53" s="1"/>
  <c r="R42" i="53"/>
  <c r="R39" i="53" s="1"/>
  <c r="R38" i="53" s="1"/>
  <c r="U52" i="53"/>
  <c r="G50" i="53"/>
  <c r="G203" i="53"/>
  <c r="G200" i="53" s="1"/>
  <c r="S203" i="53"/>
  <c r="S200" i="53" s="1"/>
  <c r="S50" i="53"/>
  <c r="R50" i="53"/>
  <c r="R203" i="53"/>
  <c r="R200" i="53" s="1"/>
  <c r="H50" i="53"/>
  <c r="H203" i="53"/>
  <c r="H200" i="53" s="1"/>
  <c r="O203" i="53"/>
  <c r="O200" i="53" s="1"/>
  <c r="O50" i="53"/>
  <c r="I42" i="53"/>
  <c r="I39" i="53" s="1"/>
  <c r="I38" i="53" s="1"/>
  <c r="I30" i="53"/>
  <c r="I27" i="53" s="1"/>
  <c r="I26" i="53" s="1"/>
  <c r="L42" i="53"/>
  <c r="L39" i="53" s="1"/>
  <c r="L38" i="53" s="1"/>
  <c r="L30" i="53"/>
  <c r="L27" i="53" s="1"/>
  <c r="L26" i="53" s="1"/>
  <c r="G42" i="53"/>
  <c r="G39" i="53" s="1"/>
  <c r="G38" i="53" s="1"/>
  <c r="G30" i="53"/>
  <c r="G27" i="53" s="1"/>
  <c r="G26" i="53" s="1"/>
  <c r="T37" i="53"/>
  <c r="T10" i="53"/>
  <c r="T126" i="53" s="1"/>
  <c r="V201" i="53"/>
  <c r="V203" i="53"/>
  <c r="V7" i="53"/>
  <c r="V35" i="53" s="1"/>
  <c r="V50" i="53"/>
  <c r="V128" i="53"/>
  <c r="V127" i="53" s="1"/>
  <c r="V114" i="53"/>
  <c r="V118" i="53"/>
  <c r="W119" i="53"/>
  <c r="U201" i="53"/>
  <c r="U203" i="53"/>
  <c r="U7" i="53"/>
  <c r="U35" i="53" s="1"/>
  <c r="U50" i="53"/>
  <c r="U128" i="53"/>
  <c r="U127" i="53" s="1"/>
  <c r="U114" i="53"/>
  <c r="T107" i="53"/>
  <c r="S100" i="53"/>
  <c r="S81" i="53" s="1"/>
  <c r="S77" i="53" s="1"/>
  <c r="S73" i="53" s="1"/>
  <c r="U118" i="53"/>
  <c r="S41" i="53"/>
  <c r="S29" i="53"/>
  <c r="T41" i="53"/>
  <c r="T39" i="53" s="1"/>
  <c r="T38" i="53" s="1"/>
  <c r="T29" i="53"/>
  <c r="U178" i="53"/>
  <c r="U176" i="53" s="1"/>
  <c r="V180" i="53"/>
  <c r="V179" i="53" s="1"/>
  <c r="W181" i="53"/>
  <c r="V155" i="53"/>
  <c r="V154" i="53" s="1"/>
  <c r="V152" i="53" s="1"/>
  <c r="W61" i="53"/>
  <c r="W59" i="53" s="1"/>
  <c r="X61" i="53"/>
  <c r="V165" i="53"/>
  <c r="V164" i="53" s="1"/>
  <c r="S37" i="53"/>
  <c r="S10" i="53"/>
  <c r="S126" i="53" s="1"/>
  <c r="X115" i="53"/>
  <c r="V40" i="53" l="1"/>
  <c r="V31" i="53" s="1"/>
  <c r="V32" i="53" s="1"/>
  <c r="T27" i="53"/>
  <c r="T26" i="53" s="1"/>
  <c r="T11" i="53" s="1"/>
  <c r="T12" i="53" s="1"/>
  <c r="S27" i="53"/>
  <c r="S26" i="53" s="1"/>
  <c r="U42" i="53"/>
  <c r="U43" i="53"/>
  <c r="U44" i="53" s="1"/>
  <c r="U30" i="53"/>
  <c r="S39" i="53"/>
  <c r="S38" i="53" s="1"/>
  <c r="S11" i="53" s="1"/>
  <c r="S12" i="53" s="1"/>
  <c r="G11" i="53"/>
  <c r="G12" i="53" s="1"/>
  <c r="J49" i="53"/>
  <c r="R49" i="53"/>
  <c r="G49" i="53"/>
  <c r="P11" i="53"/>
  <c r="P12" i="53" s="1"/>
  <c r="L49" i="53"/>
  <c r="J11" i="53"/>
  <c r="J12" i="53" s="1"/>
  <c r="H11" i="53"/>
  <c r="H12" i="53" s="1"/>
  <c r="I49" i="53"/>
  <c r="T49" i="53"/>
  <c r="I11" i="53"/>
  <c r="I12" i="53" s="1"/>
  <c r="O11" i="53"/>
  <c r="O12" i="53" s="1"/>
  <c r="K11" i="53"/>
  <c r="K12" i="53" s="1"/>
  <c r="V200" i="53"/>
  <c r="H49" i="53"/>
  <c r="P49" i="53"/>
  <c r="N49" i="53"/>
  <c r="W211" i="38"/>
  <c r="W210" i="38"/>
  <c r="X212" i="38"/>
  <c r="N11" i="53"/>
  <c r="N12" i="53" s="1"/>
  <c r="Q11" i="53"/>
  <c r="Q12" i="53" s="1"/>
  <c r="K49" i="53"/>
  <c r="Q49" i="53"/>
  <c r="S49" i="53"/>
  <c r="X226" i="38"/>
  <c r="W28" i="53"/>
  <c r="M49" i="53"/>
  <c r="W153" i="53"/>
  <c r="L11" i="53"/>
  <c r="L12" i="53" s="1"/>
  <c r="O49" i="53"/>
  <c r="R11" i="53"/>
  <c r="R12" i="53" s="1"/>
  <c r="M11" i="53"/>
  <c r="M12" i="53" s="1"/>
  <c r="V52" i="53"/>
  <c r="AA49" i="53"/>
  <c r="W203" i="53"/>
  <c r="W201" i="53"/>
  <c r="W7" i="53"/>
  <c r="W35" i="53" s="1"/>
  <c r="W50" i="53"/>
  <c r="W128" i="53"/>
  <c r="W127" i="53" s="1"/>
  <c r="Y115" i="53"/>
  <c r="W180" i="53"/>
  <c r="W179" i="53" s="1"/>
  <c r="X181" i="53"/>
  <c r="X153" i="53"/>
  <c r="X59" i="53"/>
  <c r="X114" i="53" s="1"/>
  <c r="U130" i="53"/>
  <c r="U125" i="53" s="1"/>
  <c r="V49" i="53"/>
  <c r="V178" i="53"/>
  <c r="V176" i="53" s="1"/>
  <c r="W155" i="53"/>
  <c r="W154" i="53" s="1"/>
  <c r="W165" i="53"/>
  <c r="U49" i="53"/>
  <c r="U200" i="53"/>
  <c r="V9" i="53"/>
  <c r="V47" i="53"/>
  <c r="V30" i="53"/>
  <c r="U107" i="53"/>
  <c r="T100" i="53"/>
  <c r="T81" i="53" s="1"/>
  <c r="T77" i="53" s="1"/>
  <c r="T73" i="53" s="1"/>
  <c r="W114" i="53"/>
  <c r="X155" i="53"/>
  <c r="X154" i="53" s="1"/>
  <c r="X165" i="53"/>
  <c r="U41" i="53"/>
  <c r="U29" i="53"/>
  <c r="U47" i="53"/>
  <c r="U9" i="53"/>
  <c r="W118" i="53"/>
  <c r="X119" i="53"/>
  <c r="V130" i="53"/>
  <c r="V125" i="53" s="1"/>
  <c r="V43" i="53"/>
  <c r="V44" i="53" s="1"/>
  <c r="V42" i="53" l="1"/>
  <c r="U39" i="53"/>
  <c r="U38" i="53" s="1"/>
  <c r="U27" i="53"/>
  <c r="U26" i="53" s="1"/>
  <c r="W164" i="53"/>
  <c r="W152" i="53"/>
  <c r="W40" i="53" s="1"/>
  <c r="W52" i="53"/>
  <c r="X164" i="53"/>
  <c r="W200" i="53"/>
  <c r="Y212" i="38"/>
  <c r="X211" i="38"/>
  <c r="X210" i="38"/>
  <c r="X28" i="53"/>
  <c r="Y226" i="38"/>
  <c r="Y153" i="53" s="1"/>
  <c r="U37" i="53"/>
  <c r="U10" i="53"/>
  <c r="U126" i="53" s="1"/>
  <c r="V10" i="53"/>
  <c r="V126" i="53" s="1"/>
  <c r="V37" i="53"/>
  <c r="X152" i="53"/>
  <c r="W178" i="53"/>
  <c r="W176" i="53" s="1"/>
  <c r="V107" i="53"/>
  <c r="U100" i="53"/>
  <c r="U81" i="53" s="1"/>
  <c r="U77" i="53" s="1"/>
  <c r="U73" i="53" s="1"/>
  <c r="V41" i="53"/>
  <c r="V39" i="53" s="1"/>
  <c r="V38" i="53" s="1"/>
  <c r="V29" i="53"/>
  <c r="V27" i="53" s="1"/>
  <c r="V26" i="53" s="1"/>
  <c r="Z115" i="53"/>
  <c r="W130" i="53"/>
  <c r="W125" i="53" s="1"/>
  <c r="X203" i="53"/>
  <c r="X201" i="53"/>
  <c r="X7" i="53"/>
  <c r="X35" i="53" s="1"/>
  <c r="X50" i="53"/>
  <c r="X128" i="53"/>
  <c r="X127" i="53" s="1"/>
  <c r="Y119" i="53"/>
  <c r="X118" i="53"/>
  <c r="X47" i="53" s="1"/>
  <c r="W47" i="53"/>
  <c r="W9" i="53"/>
  <c r="Y61" i="53"/>
  <c r="Y59" i="53" s="1"/>
  <c r="Y181" i="53"/>
  <c r="X180" i="53"/>
  <c r="X179" i="53" s="1"/>
  <c r="W49" i="53"/>
  <c r="U11" i="53" l="1"/>
  <c r="U12" i="53" s="1"/>
  <c r="W43" i="53"/>
  <c r="W44" i="53" s="1"/>
  <c r="W30" i="53"/>
  <c r="W42" i="53"/>
  <c r="W31" i="53"/>
  <c r="W32" i="53" s="1"/>
  <c r="X40" i="53"/>
  <c r="X42" i="53" s="1"/>
  <c r="X52" i="53"/>
  <c r="Y28" i="53"/>
  <c r="Z226" i="38"/>
  <c r="Z153" i="53" s="1"/>
  <c r="Y210" i="38"/>
  <c r="Z212" i="38"/>
  <c r="Y211" i="38"/>
  <c r="W37" i="53"/>
  <c r="W10" i="53"/>
  <c r="W126" i="53" s="1"/>
  <c r="Y201" i="53"/>
  <c r="Y203" i="53"/>
  <c r="Y7" i="53"/>
  <c r="Y35" i="53" s="1"/>
  <c r="Y50" i="53"/>
  <c r="Y128" i="53"/>
  <c r="Y127" i="53" s="1"/>
  <c r="X200" i="53"/>
  <c r="AA115" i="53"/>
  <c r="AA114" i="53" s="1"/>
  <c r="X9" i="53"/>
  <c r="Z181" i="53"/>
  <c r="Y180" i="53"/>
  <c r="Y179" i="53" s="1"/>
  <c r="Z119" i="53"/>
  <c r="Y118" i="53"/>
  <c r="X178" i="53"/>
  <c r="X176" i="53" s="1"/>
  <c r="Z61" i="53"/>
  <c r="Z59" i="53" s="1"/>
  <c r="X49" i="53"/>
  <c r="Y114" i="53"/>
  <c r="V100" i="53"/>
  <c r="V81" i="53" s="1"/>
  <c r="V77" i="53" s="1"/>
  <c r="V73" i="53" s="1"/>
  <c r="W107" i="53"/>
  <c r="V11" i="53"/>
  <c r="V12" i="53" s="1"/>
  <c r="Y155" i="53"/>
  <c r="Y154" i="53" s="1"/>
  <c r="Y152" i="53" s="1"/>
  <c r="Y165" i="53"/>
  <c r="Y164" i="53" s="1"/>
  <c r="X130" i="53"/>
  <c r="X125" i="53" s="1"/>
  <c r="W41" i="53"/>
  <c r="W29" i="53"/>
  <c r="W27" i="53" l="1"/>
  <c r="W26" i="53" s="1"/>
  <c r="W39" i="53"/>
  <c r="W38" i="53" s="1"/>
  <c r="X43" i="53"/>
  <c r="X44" i="53" s="1"/>
  <c r="X30" i="53"/>
  <c r="X31" i="53"/>
  <c r="X32" i="53" s="1"/>
  <c r="Y40" i="53"/>
  <c r="Y30" i="53" s="1"/>
  <c r="Y52" i="53"/>
  <c r="AA226" i="38"/>
  <c r="Z28" i="53"/>
  <c r="Y200" i="53"/>
  <c r="Z211" i="38"/>
  <c r="Z210" i="38"/>
  <c r="AA212" i="38"/>
  <c r="Y47" i="53"/>
  <c r="Y9" i="53"/>
  <c r="X107" i="53"/>
  <c r="W100" i="53"/>
  <c r="W81" i="53" s="1"/>
  <c r="W77" i="53" s="1"/>
  <c r="W73" i="53" s="1"/>
  <c r="X41" i="53"/>
  <c r="X39" i="53" s="1"/>
  <c r="X29" i="53"/>
  <c r="Z180" i="53"/>
  <c r="Z179" i="53" s="1"/>
  <c r="AA181" i="53"/>
  <c r="AA180" i="53" s="1"/>
  <c r="AA179" i="53" s="1"/>
  <c r="Z155" i="53"/>
  <c r="Z154" i="53" s="1"/>
  <c r="Z152" i="53" s="1"/>
  <c r="Z165" i="53"/>
  <c r="Z164" i="53" s="1"/>
  <c r="X37" i="53"/>
  <c r="X10" i="53"/>
  <c r="X126" i="53" s="1"/>
  <c r="Z118" i="53"/>
  <c r="AA119" i="53"/>
  <c r="AA118" i="53" s="1"/>
  <c r="AA47" i="53" s="1"/>
  <c r="Y130" i="53"/>
  <c r="Y125" i="53" s="1"/>
  <c r="Z201" i="53"/>
  <c r="Z203" i="53"/>
  <c r="Z7" i="53"/>
  <c r="Z35" i="53" s="1"/>
  <c r="Z50" i="53"/>
  <c r="Z128" i="53"/>
  <c r="Z127" i="53" s="1"/>
  <c r="Y178" i="53"/>
  <c r="Y176" i="53" s="1"/>
  <c r="Z114" i="53"/>
  <c r="Y49" i="53"/>
  <c r="W11" i="53" l="1"/>
  <c r="W12" i="53" s="1"/>
  <c r="X38" i="53"/>
  <c r="X27" i="53"/>
  <c r="X26" i="53" s="1"/>
  <c r="Y42" i="53"/>
  <c r="Y43" i="53"/>
  <c r="Y44" i="53" s="1"/>
  <c r="Y31" i="53"/>
  <c r="Y32" i="53" s="1"/>
  <c r="Z40" i="53"/>
  <c r="Z30" i="53" s="1"/>
  <c r="Z52" i="53"/>
  <c r="AA210" i="38"/>
  <c r="AA211" i="38"/>
  <c r="AA153" i="53"/>
  <c r="AA28" i="53"/>
  <c r="Y10" i="53"/>
  <c r="Y126" i="53" s="1"/>
  <c r="Y37" i="53"/>
  <c r="Z200" i="53"/>
  <c r="Z47" i="53"/>
  <c r="Z9" i="53"/>
  <c r="Z130" i="53"/>
  <c r="Z125" i="53" s="1"/>
  <c r="Z43" i="53"/>
  <c r="Z44" i="53" s="1"/>
  <c r="AA178" i="53"/>
  <c r="AA176" i="53" s="1"/>
  <c r="Y41" i="53"/>
  <c r="Y29" i="53"/>
  <c r="Y27" i="53" s="1"/>
  <c r="Y26" i="53" s="1"/>
  <c r="Z178" i="53"/>
  <c r="Z176" i="53" s="1"/>
  <c r="Y107" i="53"/>
  <c r="X100" i="53"/>
  <c r="X81" i="53" s="1"/>
  <c r="X77" i="53" s="1"/>
  <c r="X73" i="53" s="1"/>
  <c r="AA9" i="53"/>
  <c r="X11" i="53"/>
  <c r="X12" i="53" s="1"/>
  <c r="Z49" i="53"/>
  <c r="Y39" i="53" l="1"/>
  <c r="Y38" i="53" s="1"/>
  <c r="Y11" i="53" s="1"/>
  <c r="Y12" i="53" s="1"/>
  <c r="Z42" i="53"/>
  <c r="Z31" i="53"/>
  <c r="Z32" i="53" s="1"/>
  <c r="AA152" i="53"/>
  <c r="AA40" i="53" s="1"/>
  <c r="AA43" i="53" s="1"/>
  <c r="AA44" i="53" s="1"/>
  <c r="AA164" i="53"/>
  <c r="AA52" i="53"/>
  <c r="Z10" i="53"/>
  <c r="Z126" i="53" s="1"/>
  <c r="Z37" i="53"/>
  <c r="Z107" i="53"/>
  <c r="Y100" i="53"/>
  <c r="Y81" i="53" s="1"/>
  <c r="Y77" i="53" s="1"/>
  <c r="Y73" i="53" s="1"/>
  <c r="Z29" i="53"/>
  <c r="Z27" i="53" s="1"/>
  <c r="Z26" i="53" s="1"/>
  <c r="Z41" i="53"/>
  <c r="Z39" i="53" l="1"/>
  <c r="Z38" i="53" s="1"/>
  <c r="Z11" i="53" s="1"/>
  <c r="Z12" i="53" s="1"/>
  <c r="AA29" i="53"/>
  <c r="AA41" i="53"/>
  <c r="AA30" i="53"/>
  <c r="AA42" i="53"/>
  <c r="AA31" i="53"/>
  <c r="AA32" i="53" s="1"/>
  <c r="Z100" i="53"/>
  <c r="Z81" i="53" s="1"/>
  <c r="Z77" i="53" s="1"/>
  <c r="Z73" i="53" s="1"/>
  <c r="AA107" i="53"/>
  <c r="AA100" i="53" s="1"/>
  <c r="AA81" i="53" s="1"/>
  <c r="AA77" i="53" s="1"/>
  <c r="AA73" i="53" s="1"/>
  <c r="AA27" i="53" l="1"/>
  <c r="AA26" i="53" s="1"/>
  <c r="AA39" i="53"/>
  <c r="AA38" i="53" s="1"/>
  <c r="AA11" i="53" l="1"/>
  <c r="AA12" i="53" s="1"/>
  <c r="C183" i="38"/>
  <c r="D183" i="38" s="1"/>
  <c r="E183" i="38" s="1"/>
  <c r="F183" i="38" s="1"/>
  <c r="G183" i="38" s="1"/>
  <c r="H183" i="38" s="1"/>
  <c r="I183" i="38" s="1"/>
  <c r="J183" i="38" s="1"/>
  <c r="K183" i="38" s="1"/>
  <c r="L183" i="38" s="1"/>
  <c r="M183" i="38" s="1"/>
  <c r="N183" i="38" s="1"/>
  <c r="O183" i="38" s="1"/>
  <c r="P183" i="38" s="1"/>
  <c r="Q183" i="38" s="1"/>
  <c r="R183" i="38" s="1"/>
  <c r="S183" i="38" s="1"/>
  <c r="T183" i="38" s="1"/>
  <c r="U183" i="38" s="1"/>
  <c r="V183" i="38" s="1"/>
  <c r="W183" i="38" s="1"/>
  <c r="X183" i="38" s="1"/>
  <c r="Y183" i="38" s="1"/>
  <c r="Z183" i="38" s="1"/>
  <c r="AA183" i="38" s="1"/>
  <c r="C177" i="38"/>
  <c r="H177" i="38" s="1"/>
  <c r="W177" i="38" l="1"/>
  <c r="O177" i="38"/>
  <c r="G177" i="38"/>
  <c r="Z177" i="38"/>
  <c r="V177" i="38"/>
  <c r="R177" i="38"/>
  <c r="N177" i="38"/>
  <c r="J177" i="38"/>
  <c r="F177" i="38"/>
  <c r="Y177" i="38"/>
  <c r="U177" i="38"/>
  <c r="Q177" i="38"/>
  <c r="M177" i="38"/>
  <c r="I177" i="38"/>
  <c r="E177" i="38"/>
  <c r="AA177" i="38"/>
  <c r="S177" i="38"/>
  <c r="K177" i="38"/>
  <c r="D177" i="38"/>
  <c r="X177" i="38"/>
  <c r="T177" i="38"/>
  <c r="P177" i="38"/>
  <c r="L177" i="38"/>
  <c r="H60" i="38"/>
  <c r="I60" i="38" l="1"/>
  <c r="H61" i="38"/>
  <c r="H59" i="38" s="1"/>
  <c r="J60" i="38" l="1"/>
  <c r="I61" i="38"/>
  <c r="I59" i="38" s="1"/>
  <c r="C85" i="38"/>
  <c r="E16" i="45"/>
  <c r="E17" i="45"/>
  <c r="E18" i="45"/>
  <c r="E19" i="45"/>
  <c r="E20" i="45"/>
  <c r="E21" i="45"/>
  <c r="E22" i="45"/>
  <c r="E23" i="45"/>
  <c r="E24" i="45"/>
  <c r="E25" i="45"/>
  <c r="E26" i="45"/>
  <c r="E27" i="45"/>
  <c r="C67" i="16"/>
  <c r="K60" i="38" l="1"/>
  <c r="J61" i="38"/>
  <c r="J59" i="38" s="1"/>
  <c r="G67" i="16"/>
  <c r="F67" i="16"/>
  <c r="E67" i="16"/>
  <c r="L60" i="38" l="1"/>
  <c r="D113" i="16" s="1"/>
  <c r="K61" i="38"/>
  <c r="K59" i="38" s="1"/>
  <c r="L61" i="38" l="1"/>
  <c r="M60" i="38"/>
  <c r="N60" i="38" s="1"/>
  <c r="L59" i="38" l="1"/>
  <c r="D51" i="16"/>
  <c r="M61" i="38"/>
  <c r="M59" i="38" s="1"/>
  <c r="O60" i="38"/>
  <c r="N61" i="38"/>
  <c r="N59" i="38" s="1"/>
  <c r="P60" i="38" l="1"/>
  <c r="O61" i="38"/>
  <c r="O59" i="38" s="1"/>
  <c r="Q60" i="38" l="1"/>
  <c r="P61" i="38"/>
  <c r="P59" i="38" s="1"/>
  <c r="Q61" i="38" l="1"/>
  <c r="R60" i="38"/>
  <c r="E113" i="16"/>
  <c r="Q59" i="38" l="1"/>
  <c r="E51" i="16"/>
  <c r="R61" i="38"/>
  <c r="R59" i="38" s="1"/>
  <c r="S60" i="38"/>
  <c r="T60" i="38" l="1"/>
  <c r="S61" i="38"/>
  <c r="S59" i="38" s="1"/>
  <c r="U60" i="38" l="1"/>
  <c r="T61" i="38"/>
  <c r="T59" i="38" s="1"/>
  <c r="U61" i="38" l="1"/>
  <c r="U59" i="38" s="1"/>
  <c r="V60" i="38"/>
  <c r="W60" i="38" l="1"/>
  <c r="V61" i="38"/>
  <c r="V59" i="38" s="1"/>
  <c r="W61" i="38" l="1"/>
  <c r="W59" i="38" s="1"/>
  <c r="X60" i="38"/>
  <c r="Y60" i="38" l="1"/>
  <c r="X61" i="38"/>
  <c r="X59" i="38" s="1"/>
  <c r="Z60" i="38" l="1"/>
  <c r="Y61" i="38"/>
  <c r="Y59" i="38" s="1"/>
  <c r="Z61" i="38" l="1"/>
  <c r="Z59" i="38" s="1"/>
  <c r="C13" i="44" l="1"/>
  <c r="E12" i="44"/>
  <c r="F12" i="44" s="1"/>
  <c r="G12" i="44" s="1"/>
  <c r="H12" i="44" s="1"/>
  <c r="I12" i="44" s="1"/>
  <c r="J12" i="44" s="1"/>
  <c r="K12" i="44" s="1"/>
  <c r="L12" i="44" s="1"/>
  <c r="M12" i="44" s="1"/>
  <c r="N12" i="44" s="1"/>
  <c r="O12" i="44" s="1"/>
  <c r="P12" i="44" s="1"/>
  <c r="Q12" i="44" s="1"/>
  <c r="R12" i="44" s="1"/>
  <c r="S12" i="44" s="1"/>
  <c r="T12" i="44" s="1"/>
  <c r="U12" i="44" s="1"/>
  <c r="V12" i="44" s="1"/>
  <c r="W12" i="44" s="1"/>
  <c r="X12" i="44" s="1"/>
  <c r="Y12" i="44" s="1"/>
  <c r="Z12" i="44" s="1"/>
  <c r="AA12" i="44" s="1"/>
  <c r="F11" i="44"/>
  <c r="G11" i="44" s="1"/>
  <c r="H11" i="44" s="1"/>
  <c r="I11" i="44" s="1"/>
  <c r="J11" i="44" s="1"/>
  <c r="K11" i="44" s="1"/>
  <c r="L11" i="44" s="1"/>
  <c r="M11" i="44" s="1"/>
  <c r="N11" i="44" s="1"/>
  <c r="O11" i="44" s="1"/>
  <c r="P11" i="44" s="1"/>
  <c r="Q11" i="44" s="1"/>
  <c r="R11" i="44" s="1"/>
  <c r="S11" i="44" s="1"/>
  <c r="T11" i="44" s="1"/>
  <c r="U11" i="44" s="1"/>
  <c r="V11" i="44" s="1"/>
  <c r="W11" i="44" s="1"/>
  <c r="X11" i="44" s="1"/>
  <c r="Y11" i="44" s="1"/>
  <c r="Z11" i="44" s="1"/>
  <c r="AA11" i="44" s="1"/>
  <c r="AA61" i="38" l="1"/>
  <c r="AA59" i="38" l="1"/>
  <c r="F51" i="16"/>
  <c r="D89" i="38" l="1"/>
  <c r="C89" i="38"/>
  <c r="B89" i="38" s="1"/>
  <c r="C115" i="38" l="1"/>
  <c r="D115" i="38" s="1"/>
  <c r="E115" i="38" s="1"/>
  <c r="F115" i="38" s="1"/>
  <c r="G115" i="38" s="1"/>
  <c r="H115" i="38" s="1"/>
  <c r="I115" i="38" s="1"/>
  <c r="J115" i="38" s="1"/>
  <c r="K115" i="38" s="1"/>
  <c r="L115" i="38" s="1"/>
  <c r="M115" i="38" s="1"/>
  <c r="N115" i="38" s="1"/>
  <c r="O115" i="38" s="1"/>
  <c r="P115" i="38" s="1"/>
  <c r="Q115" i="38" s="1"/>
  <c r="R115" i="38" s="1"/>
  <c r="S115" i="38" s="1"/>
  <c r="T115" i="38" s="1"/>
  <c r="U115" i="38" s="1"/>
  <c r="V115" i="38" s="1"/>
  <c r="W115" i="38" s="1"/>
  <c r="X115" i="38" s="1"/>
  <c r="Y115" i="38" s="1"/>
  <c r="Z115" i="38" s="1"/>
  <c r="AA115" i="38" s="1"/>
  <c r="C105" i="38" l="1"/>
  <c r="D20" i="39" l="1"/>
  <c r="C20" i="39"/>
  <c r="B20" i="39"/>
  <c r="C104" i="53" l="1"/>
  <c r="C103" i="53" s="1"/>
  <c r="C104" i="38"/>
  <c r="C103" i="38" s="1"/>
  <c r="G61" i="38"/>
  <c r="L138" i="38"/>
  <c r="C182" i="38"/>
  <c r="C181" i="38"/>
  <c r="C84" i="38" s="1"/>
  <c r="D91" i="38"/>
  <c r="D92" i="38"/>
  <c r="C92" i="38"/>
  <c r="D93" i="38"/>
  <c r="C107" i="38"/>
  <c r="D95" i="38"/>
  <c r="D96" i="38"/>
  <c r="C96" i="38"/>
  <c r="C131" i="38"/>
  <c r="Y153" i="38"/>
  <c r="X153" i="38"/>
  <c r="W153" i="38"/>
  <c r="U153" i="38"/>
  <c r="T153" i="38"/>
  <c r="S153" i="38"/>
  <c r="P153" i="38"/>
  <c r="O153" i="38"/>
  <c r="N153" i="38"/>
  <c r="M153" i="38"/>
  <c r="K153" i="38"/>
  <c r="J153" i="38"/>
  <c r="I153" i="38"/>
  <c r="H153" i="38"/>
  <c r="C101" i="53" l="1"/>
  <c r="D103" i="53"/>
  <c r="D99" i="53" s="1"/>
  <c r="M138" i="38"/>
  <c r="L137" i="38"/>
  <c r="L139" i="38" s="1"/>
  <c r="G59" i="38"/>
  <c r="C51" i="16"/>
  <c r="D126" i="16"/>
  <c r="E126" i="16"/>
  <c r="C126" i="16"/>
  <c r="F126" i="16"/>
  <c r="C50" i="16"/>
  <c r="G153" i="38"/>
  <c r="D50" i="16"/>
  <c r="L153" i="38"/>
  <c r="F50" i="16"/>
  <c r="AA153" i="38"/>
  <c r="E50" i="16"/>
  <c r="Q153" i="38"/>
  <c r="C100" i="38"/>
  <c r="D107" i="38"/>
  <c r="B94" i="38"/>
  <c r="C94" i="38"/>
  <c r="B90" i="38"/>
  <c r="C90" i="38"/>
  <c r="D181" i="38"/>
  <c r="C101" i="38"/>
  <c r="D148" i="16"/>
  <c r="C148" i="16"/>
  <c r="D103" i="38"/>
  <c r="D99" i="38" s="1"/>
  <c r="C144" i="38"/>
  <c r="C146" i="38"/>
  <c r="C145" i="38"/>
  <c r="C143" i="38"/>
  <c r="V153" i="38"/>
  <c r="R153" i="38"/>
  <c r="Z153" i="38"/>
  <c r="E182" i="38"/>
  <c r="I182" i="38"/>
  <c r="M182" i="38"/>
  <c r="Q182" i="38"/>
  <c r="U182" i="38"/>
  <c r="Y182" i="38"/>
  <c r="D182" i="38"/>
  <c r="H182" i="38"/>
  <c r="P182" i="38"/>
  <c r="X182" i="38"/>
  <c r="F182" i="38"/>
  <c r="J182" i="38"/>
  <c r="N182" i="38"/>
  <c r="R182" i="38"/>
  <c r="V182" i="38"/>
  <c r="Z182" i="38"/>
  <c r="L182" i="38"/>
  <c r="T182" i="38"/>
  <c r="G182" i="38"/>
  <c r="K182" i="38"/>
  <c r="O182" i="38"/>
  <c r="S182" i="38"/>
  <c r="W182" i="38"/>
  <c r="AA182" i="38"/>
  <c r="E103" i="53" l="1"/>
  <c r="D101" i="53"/>
  <c r="N138" i="38"/>
  <c r="M137" i="38"/>
  <c r="M139" i="38" s="1"/>
  <c r="G129" i="38"/>
  <c r="G22" i="38" s="1"/>
  <c r="K129" i="38"/>
  <c r="K22" i="38" s="1"/>
  <c r="I129" i="38"/>
  <c r="I22" i="38" s="1"/>
  <c r="H129" i="38"/>
  <c r="H22" i="38" s="1"/>
  <c r="P129" i="38"/>
  <c r="P22" i="38" s="1"/>
  <c r="J129" i="38"/>
  <c r="J22" i="38" s="1"/>
  <c r="L129" i="38"/>
  <c r="C147" i="16"/>
  <c r="C146" i="16" s="1"/>
  <c r="D147" i="16"/>
  <c r="D146" i="16" s="1"/>
  <c r="J7" i="38"/>
  <c r="E107" i="38"/>
  <c r="D100" i="38"/>
  <c r="E181" i="38"/>
  <c r="E103" i="38"/>
  <c r="E99" i="38" s="1"/>
  <c r="D101" i="38"/>
  <c r="M49" i="38"/>
  <c r="O49" i="38"/>
  <c r="G49" i="38"/>
  <c r="L49" i="38"/>
  <c r="J49" i="38"/>
  <c r="N49" i="38"/>
  <c r="H49" i="38"/>
  <c r="E11" i="38"/>
  <c r="F11" i="38"/>
  <c r="F103" i="53" l="1"/>
  <c r="E101" i="53"/>
  <c r="E99" i="53"/>
  <c r="M129" i="38"/>
  <c r="M22" i="38" s="1"/>
  <c r="O138" i="38"/>
  <c r="O137" i="38" s="1"/>
  <c r="O139" i="38" s="1"/>
  <c r="N137" i="38"/>
  <c r="N30" i="44"/>
  <c r="M30" i="44"/>
  <c r="H30" i="44"/>
  <c r="J30" i="44"/>
  <c r="G30" i="44"/>
  <c r="L30" i="44"/>
  <c r="O30" i="44"/>
  <c r="L22" i="38"/>
  <c r="D102" i="16"/>
  <c r="C102" i="16"/>
  <c r="N7" i="38"/>
  <c r="O7" i="38"/>
  <c r="I7" i="38"/>
  <c r="H7" i="38"/>
  <c r="S7" i="38"/>
  <c r="F181" i="38"/>
  <c r="G181" i="38" s="1"/>
  <c r="F107" i="38"/>
  <c r="E100" i="38"/>
  <c r="F103" i="38"/>
  <c r="F99" i="38" s="1"/>
  <c r="E101" i="38"/>
  <c r="F49" i="38"/>
  <c r="I49" i="38"/>
  <c r="E49" i="38"/>
  <c r="E13" i="38"/>
  <c r="K49" i="38"/>
  <c r="J128" i="38"/>
  <c r="J127" i="38" s="1"/>
  <c r="O129" i="38"/>
  <c r="O22" i="38" s="1"/>
  <c r="F99" i="53" l="1"/>
  <c r="G103" i="53"/>
  <c r="F101" i="53"/>
  <c r="N139" i="38"/>
  <c r="N129" i="38" s="1"/>
  <c r="P49" i="38"/>
  <c r="P30" i="44" s="1"/>
  <c r="I30" i="44"/>
  <c r="F30" i="44"/>
  <c r="F51" i="38"/>
  <c r="K30" i="44"/>
  <c r="E30" i="44"/>
  <c r="E51" i="38"/>
  <c r="E15" i="44"/>
  <c r="E33" i="44"/>
  <c r="C37" i="16"/>
  <c r="P7" i="38"/>
  <c r="F37" i="16"/>
  <c r="G180" i="38"/>
  <c r="G179" i="38" s="1"/>
  <c r="K7" i="38"/>
  <c r="T7" i="38"/>
  <c r="G7" i="38"/>
  <c r="AA7" i="38"/>
  <c r="U7" i="38"/>
  <c r="V7" i="38"/>
  <c r="R7" i="38"/>
  <c r="M7" i="38"/>
  <c r="W7" i="38"/>
  <c r="H181" i="38"/>
  <c r="I181" i="38" s="1"/>
  <c r="I180" i="38" s="1"/>
  <c r="M128" i="38"/>
  <c r="M127" i="38" s="1"/>
  <c r="G107" i="38"/>
  <c r="F100" i="38"/>
  <c r="G128" i="38"/>
  <c r="G127" i="38" s="1"/>
  <c r="H128" i="38"/>
  <c r="P128" i="38"/>
  <c r="P127" i="38" s="1"/>
  <c r="I128" i="38"/>
  <c r="K128" i="38"/>
  <c r="K127" i="38" s="1"/>
  <c r="G103" i="38"/>
  <c r="G99" i="38" s="1"/>
  <c r="F101" i="38"/>
  <c r="F13" i="38"/>
  <c r="G114" i="38"/>
  <c r="J130" i="38"/>
  <c r="J125" i="38" s="1"/>
  <c r="U129" i="38"/>
  <c r="U22" i="38" s="1"/>
  <c r="G178" i="38" l="1"/>
  <c r="C127" i="16" s="1"/>
  <c r="G80" i="38"/>
  <c r="G101" i="53"/>
  <c r="G82" i="53" s="1"/>
  <c r="G78" i="53" s="1"/>
  <c r="G74" i="53" s="1"/>
  <c r="H103" i="53"/>
  <c r="G99" i="53"/>
  <c r="G80" i="53" s="1"/>
  <c r="N22" i="38"/>
  <c r="N128" i="38"/>
  <c r="N127" i="38" s="1"/>
  <c r="H127" i="38"/>
  <c r="H130" i="38" s="1"/>
  <c r="H125" i="38" s="1"/>
  <c r="I127" i="38"/>
  <c r="I130" i="38" s="1"/>
  <c r="I125" i="38" s="1"/>
  <c r="I34" i="38" s="1"/>
  <c r="E148" i="16"/>
  <c r="Q49" i="38"/>
  <c r="E147" i="16"/>
  <c r="F15" i="44"/>
  <c r="F33" i="44"/>
  <c r="J34" i="38"/>
  <c r="J10" i="38"/>
  <c r="E37" i="16"/>
  <c r="H180" i="38"/>
  <c r="H179" i="38" s="1"/>
  <c r="L128" i="38"/>
  <c r="D37" i="16"/>
  <c r="Q7" i="38"/>
  <c r="L7" i="38"/>
  <c r="Y7" i="38"/>
  <c r="Z7" i="38"/>
  <c r="X7" i="38"/>
  <c r="H107" i="38"/>
  <c r="G100" i="38"/>
  <c r="G81" i="38" s="1"/>
  <c r="G77" i="38" s="1"/>
  <c r="G73" i="38" s="1"/>
  <c r="C82" i="16" s="1"/>
  <c r="G130" i="38"/>
  <c r="C101" i="16"/>
  <c r="H103" i="38"/>
  <c r="H99" i="38" s="1"/>
  <c r="G101" i="38"/>
  <c r="G82" i="38" s="1"/>
  <c r="G78" i="38" s="1"/>
  <c r="G74" i="38" s="1"/>
  <c r="C83" i="16" s="1"/>
  <c r="M130" i="38"/>
  <c r="M125" i="38" s="1"/>
  <c r="K130" i="38"/>
  <c r="K125" i="38" s="1"/>
  <c r="C91" i="16"/>
  <c r="H114" i="38"/>
  <c r="G176" i="38"/>
  <c r="O128" i="38"/>
  <c r="O127" i="38" s="1"/>
  <c r="I179" i="38"/>
  <c r="J181" i="38"/>
  <c r="J180" i="38" s="1"/>
  <c r="G76" i="53" l="1"/>
  <c r="G79" i="53"/>
  <c r="G76" i="38"/>
  <c r="G79" i="38"/>
  <c r="H178" i="38"/>
  <c r="H176" i="38" s="1"/>
  <c r="H80" i="38"/>
  <c r="H99" i="53"/>
  <c r="H80" i="53" s="1"/>
  <c r="I103" i="53"/>
  <c r="H101" i="53"/>
  <c r="H82" i="53" s="1"/>
  <c r="H78" i="53" s="1"/>
  <c r="H74" i="53" s="1"/>
  <c r="H10" i="38"/>
  <c r="H34" i="38"/>
  <c r="I10" i="38"/>
  <c r="L127" i="38"/>
  <c r="D101" i="16" s="1"/>
  <c r="R49" i="38"/>
  <c r="R30" i="44" s="1"/>
  <c r="E146" i="16"/>
  <c r="Q30" i="44"/>
  <c r="J126" i="38"/>
  <c r="K34" i="38"/>
  <c r="K10" i="38"/>
  <c r="M34" i="38"/>
  <c r="M10" i="38"/>
  <c r="H126" i="38"/>
  <c r="I178" i="38"/>
  <c r="I107" i="38"/>
  <c r="H100" i="38"/>
  <c r="H81" i="38" s="1"/>
  <c r="H77" i="38" s="1"/>
  <c r="H73" i="38" s="1"/>
  <c r="G125" i="38"/>
  <c r="C103" i="16"/>
  <c r="C99" i="16" s="1"/>
  <c r="I103" i="38"/>
  <c r="I99" i="38" s="1"/>
  <c r="I80" i="38" s="1"/>
  <c r="H101" i="38"/>
  <c r="H82" i="38" s="1"/>
  <c r="H78" i="38" s="1"/>
  <c r="H74" i="38" s="1"/>
  <c r="I114" i="38"/>
  <c r="J179" i="38"/>
  <c r="K181" i="38"/>
  <c r="K180" i="38" s="1"/>
  <c r="P130" i="38"/>
  <c r="P125" i="38" s="1"/>
  <c r="N130" i="38"/>
  <c r="N125" i="38" s="1"/>
  <c r="U128" i="38"/>
  <c r="U127" i="38" s="1"/>
  <c r="H79" i="53" l="1"/>
  <c r="H76" i="53"/>
  <c r="G75" i="53"/>
  <c r="G72" i="53"/>
  <c r="G71" i="53" s="1"/>
  <c r="G8" i="53" s="1"/>
  <c r="G24" i="53" s="1"/>
  <c r="G22" i="53" s="1"/>
  <c r="G72" i="38"/>
  <c r="G75" i="38"/>
  <c r="H76" i="38"/>
  <c r="H79" i="38"/>
  <c r="I76" i="38"/>
  <c r="I101" i="53"/>
  <c r="I82" i="53" s="1"/>
  <c r="I78" i="53" s="1"/>
  <c r="I74" i="53" s="1"/>
  <c r="J103" i="53"/>
  <c r="I99" i="53"/>
  <c r="I80" i="53" s="1"/>
  <c r="L130" i="38"/>
  <c r="L125" i="38" s="1"/>
  <c r="L10" i="38" s="1"/>
  <c r="I126" i="38"/>
  <c r="S49" i="38"/>
  <c r="K126" i="38"/>
  <c r="M126" i="38"/>
  <c r="P34" i="38"/>
  <c r="P10" i="38"/>
  <c r="G34" i="38"/>
  <c r="G10" i="38"/>
  <c r="N34" i="38"/>
  <c r="N10" i="38"/>
  <c r="J178" i="38"/>
  <c r="J107" i="38"/>
  <c r="I100" i="38"/>
  <c r="I81" i="38" s="1"/>
  <c r="I77" i="38" s="1"/>
  <c r="I73" i="38" s="1"/>
  <c r="J103" i="38"/>
  <c r="J99" i="38" s="1"/>
  <c r="I101" i="38"/>
  <c r="I82" i="38" s="1"/>
  <c r="I78" i="38" s="1"/>
  <c r="I74" i="38" s="1"/>
  <c r="J114" i="38"/>
  <c r="O130" i="38"/>
  <c r="O125" i="38" s="1"/>
  <c r="I176" i="38"/>
  <c r="K179" i="38"/>
  <c r="L181" i="38"/>
  <c r="L180" i="38" s="1"/>
  <c r="U130" i="38"/>
  <c r="U125" i="38" s="1"/>
  <c r="H72" i="53" l="1"/>
  <c r="H71" i="53" s="1"/>
  <c r="H8" i="53" s="1"/>
  <c r="H75" i="53"/>
  <c r="I79" i="53"/>
  <c r="I76" i="53"/>
  <c r="H72" i="38"/>
  <c r="H71" i="38" s="1"/>
  <c r="H8" i="38" s="1"/>
  <c r="H75" i="38"/>
  <c r="I79" i="38"/>
  <c r="I72" i="38"/>
  <c r="I71" i="38" s="1"/>
  <c r="I75" i="38"/>
  <c r="C81" i="16"/>
  <c r="G71" i="38"/>
  <c r="G8" i="38" s="1"/>
  <c r="C38" i="16" s="1"/>
  <c r="G36" i="53"/>
  <c r="G34" i="53" s="1"/>
  <c r="G54" i="53" s="1"/>
  <c r="G36" i="44" s="1"/>
  <c r="H24" i="53"/>
  <c r="H22" i="53" s="1"/>
  <c r="G13" i="53"/>
  <c r="D103" i="16"/>
  <c r="D99" i="16" s="1"/>
  <c r="J80" i="38"/>
  <c r="L34" i="38"/>
  <c r="J99" i="53"/>
  <c r="J80" i="53" s="1"/>
  <c r="K103" i="53"/>
  <c r="J101" i="53"/>
  <c r="J82" i="53" s="1"/>
  <c r="J78" i="53" s="1"/>
  <c r="J74" i="53" s="1"/>
  <c r="G126" i="38"/>
  <c r="C100" i="16" s="1"/>
  <c r="C11" i="16"/>
  <c r="T49" i="38"/>
  <c r="T30" i="44" s="1"/>
  <c r="S30" i="44"/>
  <c r="C40" i="16"/>
  <c r="O34" i="38"/>
  <c r="O10" i="38"/>
  <c r="L126" i="38"/>
  <c r="D100" i="16" s="1"/>
  <c r="D40" i="16"/>
  <c r="U34" i="38"/>
  <c r="U10" i="38"/>
  <c r="N126" i="38"/>
  <c r="P126" i="38"/>
  <c r="K178" i="38"/>
  <c r="K107" i="38"/>
  <c r="J100" i="38"/>
  <c r="J81" i="38" s="1"/>
  <c r="J77" i="38" s="1"/>
  <c r="J73" i="38" s="1"/>
  <c r="K103" i="38"/>
  <c r="K99" i="38" s="1"/>
  <c r="J101" i="38"/>
  <c r="J82" i="38" s="1"/>
  <c r="J78" i="38" s="1"/>
  <c r="J74" i="38" s="1"/>
  <c r="K114" i="38"/>
  <c r="M181" i="38"/>
  <c r="M180" i="38" s="1"/>
  <c r="L179" i="38"/>
  <c r="J176" i="38"/>
  <c r="I75" i="53" l="1"/>
  <c r="I72" i="53"/>
  <c r="I71" i="53" s="1"/>
  <c r="I8" i="53" s="1"/>
  <c r="I13" i="53" s="1"/>
  <c r="J79" i="53"/>
  <c r="J76" i="53"/>
  <c r="J76" i="38"/>
  <c r="J79" i="38"/>
  <c r="H13" i="53"/>
  <c r="H36" i="53"/>
  <c r="H34" i="53" s="1"/>
  <c r="H54" i="53" s="1"/>
  <c r="H36" i="44" s="1"/>
  <c r="I8" i="38"/>
  <c r="K80" i="38"/>
  <c r="K101" i="53"/>
  <c r="K82" i="53" s="1"/>
  <c r="K78" i="53" s="1"/>
  <c r="K74" i="53" s="1"/>
  <c r="L103" i="53"/>
  <c r="K99" i="53"/>
  <c r="K80" i="53" s="1"/>
  <c r="U49" i="38"/>
  <c r="U30" i="44" s="1"/>
  <c r="U126" i="38"/>
  <c r="O126" i="38"/>
  <c r="L178" i="38"/>
  <c r="D127" i="16" s="1"/>
  <c r="L107" i="38"/>
  <c r="K100" i="38"/>
  <c r="K81" i="38" s="1"/>
  <c r="K77" i="38" s="1"/>
  <c r="K73" i="38" s="1"/>
  <c r="L103" i="38"/>
  <c r="L99" i="38" s="1"/>
  <c r="K101" i="38"/>
  <c r="K82" i="38" s="1"/>
  <c r="K78" i="38" s="1"/>
  <c r="K74" i="38" s="1"/>
  <c r="L114" i="38"/>
  <c r="K176" i="38"/>
  <c r="N181" i="38"/>
  <c r="N180" i="38" s="1"/>
  <c r="M179" i="38"/>
  <c r="I36" i="53" l="1"/>
  <c r="I34" i="53" s="1"/>
  <c r="J72" i="53"/>
  <c r="J71" i="53" s="1"/>
  <c r="J8" i="53" s="1"/>
  <c r="J75" i="53"/>
  <c r="K76" i="53"/>
  <c r="K79" i="53"/>
  <c r="J72" i="38"/>
  <c r="J71" i="38" s="1"/>
  <c r="J8" i="38" s="1"/>
  <c r="J75" i="38"/>
  <c r="K76" i="38"/>
  <c r="K79" i="38"/>
  <c r="I24" i="53"/>
  <c r="I22" i="53" s="1"/>
  <c r="L80" i="38"/>
  <c r="M103" i="53"/>
  <c r="L101" i="53"/>
  <c r="L82" i="53" s="1"/>
  <c r="L78" i="53" s="1"/>
  <c r="L74" i="53" s="1"/>
  <c r="L99" i="53"/>
  <c r="L80" i="53" s="1"/>
  <c r="V49" i="38"/>
  <c r="M178" i="38"/>
  <c r="M107" i="38"/>
  <c r="L100" i="38"/>
  <c r="L81" i="38" s="1"/>
  <c r="L77" i="38" s="1"/>
  <c r="L73" i="38" s="1"/>
  <c r="D82" i="16" s="1"/>
  <c r="M103" i="38"/>
  <c r="M99" i="38" s="1"/>
  <c r="L101" i="38"/>
  <c r="L82" i="38" s="1"/>
  <c r="L78" i="38" s="1"/>
  <c r="L74" i="38" s="1"/>
  <c r="D83" i="16" s="1"/>
  <c r="D91" i="16"/>
  <c r="M114" i="38"/>
  <c r="L176" i="38"/>
  <c r="N179" i="38"/>
  <c r="O181" i="38"/>
  <c r="O180" i="38" s="1"/>
  <c r="I54" i="53" l="1"/>
  <c r="I36" i="44" s="1"/>
  <c r="K75" i="53"/>
  <c r="K72" i="53"/>
  <c r="K71" i="53" s="1"/>
  <c r="K8" i="53" s="1"/>
  <c r="K24" i="53" s="1"/>
  <c r="K22" i="53" s="1"/>
  <c r="L76" i="53"/>
  <c r="L79" i="53"/>
  <c r="L76" i="38"/>
  <c r="L79" i="38"/>
  <c r="K72" i="38"/>
  <c r="K71" i="38" s="1"/>
  <c r="K8" i="38" s="1"/>
  <c r="K75" i="38"/>
  <c r="M80" i="38"/>
  <c r="N103" i="53"/>
  <c r="M101" i="53"/>
  <c r="M82" i="53" s="1"/>
  <c r="M78" i="53" s="1"/>
  <c r="M74" i="53" s="1"/>
  <c r="M99" i="53"/>
  <c r="M80" i="53" s="1"/>
  <c r="J24" i="53"/>
  <c r="J22" i="53" s="1"/>
  <c r="J36" i="53"/>
  <c r="J34" i="53" s="1"/>
  <c r="J13" i="53"/>
  <c r="W49" i="38"/>
  <c r="W30" i="44" s="1"/>
  <c r="V30" i="44"/>
  <c r="N178" i="38"/>
  <c r="N107" i="38"/>
  <c r="M100" i="38"/>
  <c r="M81" i="38" s="1"/>
  <c r="M77" i="38" s="1"/>
  <c r="M73" i="38" s="1"/>
  <c r="N103" i="38"/>
  <c r="N99" i="38" s="1"/>
  <c r="N80" i="38" s="1"/>
  <c r="M101" i="38"/>
  <c r="M82" i="38" s="1"/>
  <c r="M78" i="38" s="1"/>
  <c r="M74" i="38" s="1"/>
  <c r="N114" i="38"/>
  <c r="M176" i="38"/>
  <c r="O179" i="38"/>
  <c r="P181" i="38"/>
  <c r="P180" i="38" s="1"/>
  <c r="L72" i="53" l="1"/>
  <c r="L71" i="53" s="1"/>
  <c r="L8" i="53" s="1"/>
  <c r="L13" i="53" s="1"/>
  <c r="L75" i="53"/>
  <c r="M76" i="53"/>
  <c r="M79" i="53"/>
  <c r="N76" i="38"/>
  <c r="L72" i="38"/>
  <c r="L75" i="38"/>
  <c r="M76" i="38"/>
  <c r="M79" i="38"/>
  <c r="J54" i="53"/>
  <c r="J36" i="44" s="1"/>
  <c r="K36" i="53"/>
  <c r="K34" i="53" s="1"/>
  <c r="K54" i="53" s="1"/>
  <c r="K36" i="44" s="1"/>
  <c r="K13" i="53"/>
  <c r="L36" i="53"/>
  <c r="L34" i="53" s="1"/>
  <c r="N99" i="53"/>
  <c r="N80" i="53" s="1"/>
  <c r="O103" i="53"/>
  <c r="N101" i="53"/>
  <c r="N82" i="53" s="1"/>
  <c r="N78" i="53" s="1"/>
  <c r="N74" i="53" s="1"/>
  <c r="X49" i="38"/>
  <c r="O178" i="38"/>
  <c r="O107" i="38"/>
  <c r="N100" i="38"/>
  <c r="N81" i="38" s="1"/>
  <c r="N77" i="38" s="1"/>
  <c r="N73" i="38" s="1"/>
  <c r="O103" i="38"/>
  <c r="O99" i="38" s="1"/>
  <c r="N101" i="38"/>
  <c r="N82" i="38" s="1"/>
  <c r="N78" i="38" s="1"/>
  <c r="N74" i="38" s="1"/>
  <c r="O114" i="38"/>
  <c r="P179" i="38"/>
  <c r="Q181" i="38"/>
  <c r="Q180" i="38" s="1"/>
  <c r="N176" i="38"/>
  <c r="L24" i="53" l="1"/>
  <c r="L22" i="53" s="1"/>
  <c r="L54" i="53" s="1"/>
  <c r="L36" i="44" s="1"/>
  <c r="N79" i="53"/>
  <c r="N76" i="53"/>
  <c r="M75" i="53"/>
  <c r="M72" i="53"/>
  <c r="M71" i="53" s="1"/>
  <c r="M8" i="53" s="1"/>
  <c r="M13" i="53" s="1"/>
  <c r="D81" i="16"/>
  <c r="L71" i="38"/>
  <c r="L8" i="38" s="1"/>
  <c r="C9" i="16" s="1"/>
  <c r="N79" i="38"/>
  <c r="M72" i="38"/>
  <c r="M71" i="38" s="1"/>
  <c r="M8" i="38" s="1"/>
  <c r="M75" i="38"/>
  <c r="N72" i="38"/>
  <c r="N71" i="38" s="1"/>
  <c r="N75" i="38"/>
  <c r="O80" i="38"/>
  <c r="O99" i="53"/>
  <c r="O80" i="53" s="1"/>
  <c r="O101" i="53"/>
  <c r="O82" i="53" s="1"/>
  <c r="O78" i="53" s="1"/>
  <c r="O74" i="53" s="1"/>
  <c r="P103" i="53"/>
  <c r="Y49" i="38"/>
  <c r="X30" i="44"/>
  <c r="P178" i="38"/>
  <c r="P107" i="38"/>
  <c r="O100" i="38"/>
  <c r="O81" i="38" s="1"/>
  <c r="O77" i="38" s="1"/>
  <c r="O73" i="38" s="1"/>
  <c r="P103" i="38"/>
  <c r="O101" i="38"/>
  <c r="O82" i="38" s="1"/>
  <c r="O78" i="38" s="1"/>
  <c r="O74" i="38" s="1"/>
  <c r="P114" i="38"/>
  <c r="O176" i="38"/>
  <c r="Q179" i="38"/>
  <c r="R181" i="38"/>
  <c r="R180" i="38" s="1"/>
  <c r="D38" i="16" l="1"/>
  <c r="M24" i="53"/>
  <c r="M22" i="53" s="1"/>
  <c r="O79" i="53"/>
  <c r="O76" i="53"/>
  <c r="N72" i="53"/>
  <c r="N71" i="53" s="1"/>
  <c r="N8" i="53" s="1"/>
  <c r="N75" i="53"/>
  <c r="O76" i="38"/>
  <c r="O79" i="38"/>
  <c r="M36" i="53"/>
  <c r="M34" i="53" s="1"/>
  <c r="N8" i="38"/>
  <c r="Q103" i="53"/>
  <c r="P101" i="53"/>
  <c r="P82" i="53" s="1"/>
  <c r="P78" i="53" s="1"/>
  <c r="P74" i="53" s="1"/>
  <c r="P99" i="53"/>
  <c r="P80" i="53" s="1"/>
  <c r="Z49" i="38"/>
  <c r="Z30" i="44" s="1"/>
  <c r="F147" i="16"/>
  <c r="Y30" i="44"/>
  <c r="Q178" i="38"/>
  <c r="E127" i="16" s="1"/>
  <c r="Q107" i="38"/>
  <c r="P100" i="38"/>
  <c r="P81" i="38" s="1"/>
  <c r="P77" i="38" s="1"/>
  <c r="P73" i="38" s="1"/>
  <c r="P99" i="38"/>
  <c r="Q103" i="38"/>
  <c r="P101" i="38"/>
  <c r="P82" i="38" s="1"/>
  <c r="P78" i="38" s="1"/>
  <c r="P74" i="38" s="1"/>
  <c r="Q114" i="38"/>
  <c r="P176" i="38"/>
  <c r="R179" i="38"/>
  <c r="S181" i="38"/>
  <c r="S180" i="38" s="1"/>
  <c r="M54" i="53" l="1"/>
  <c r="M36" i="44" s="1"/>
  <c r="P79" i="53"/>
  <c r="P76" i="53"/>
  <c r="O72" i="53"/>
  <c r="O71" i="53" s="1"/>
  <c r="O8" i="53" s="1"/>
  <c r="O75" i="53"/>
  <c r="O72" i="38"/>
  <c r="O71" i="38" s="1"/>
  <c r="O8" i="38" s="1"/>
  <c r="O75" i="38"/>
  <c r="P80" i="38"/>
  <c r="P79" i="38" s="1"/>
  <c r="N24" i="53"/>
  <c r="N22" i="53" s="1"/>
  <c r="N13" i="53"/>
  <c r="N36" i="53"/>
  <c r="N34" i="53" s="1"/>
  <c r="Q99" i="53"/>
  <c r="Q80" i="53" s="1"/>
  <c r="Q101" i="53"/>
  <c r="Q82" i="53" s="1"/>
  <c r="Q78" i="53" s="1"/>
  <c r="Q74" i="53" s="1"/>
  <c r="R103" i="53"/>
  <c r="F148" i="16"/>
  <c r="F146" i="16" s="1"/>
  <c r="AA49" i="38"/>
  <c r="R178" i="38"/>
  <c r="R107" i="38"/>
  <c r="Q100" i="38"/>
  <c r="Q81" i="38" s="1"/>
  <c r="Q77" i="38" s="1"/>
  <c r="Q73" i="38" s="1"/>
  <c r="E82" i="16" s="1"/>
  <c r="Q99" i="38"/>
  <c r="R103" i="38"/>
  <c r="Q101" i="38"/>
  <c r="Q82" i="38" s="1"/>
  <c r="Q78" i="38" s="1"/>
  <c r="Q74" i="38" s="1"/>
  <c r="E83" i="16" s="1"/>
  <c r="E91" i="16"/>
  <c r="R114" i="38"/>
  <c r="Q176" i="38"/>
  <c r="S179" i="38"/>
  <c r="T181" i="38"/>
  <c r="T180" i="38" s="1"/>
  <c r="Q79" i="53" l="1"/>
  <c r="Q76" i="53"/>
  <c r="P75" i="53"/>
  <c r="P72" i="53"/>
  <c r="P71" i="53" s="1"/>
  <c r="P8" i="53" s="1"/>
  <c r="P36" i="53" s="1"/>
  <c r="P34" i="53" s="1"/>
  <c r="P76" i="38"/>
  <c r="N54" i="53"/>
  <c r="N36" i="44" s="1"/>
  <c r="Q80" i="38"/>
  <c r="Q79" i="38" s="1"/>
  <c r="O24" i="53"/>
  <c r="O22" i="53" s="1"/>
  <c r="O36" i="53"/>
  <c r="O34" i="53" s="1"/>
  <c r="O13" i="53"/>
  <c r="R101" i="53"/>
  <c r="R82" i="53" s="1"/>
  <c r="R78" i="53" s="1"/>
  <c r="R74" i="53" s="1"/>
  <c r="S103" i="53"/>
  <c r="R99" i="53"/>
  <c r="R80" i="53" s="1"/>
  <c r="AA30" i="44"/>
  <c r="B30" i="44" s="1"/>
  <c r="S178" i="38"/>
  <c r="S107" i="38"/>
  <c r="R100" i="38"/>
  <c r="R81" i="38" s="1"/>
  <c r="R77" i="38" s="1"/>
  <c r="R73" i="38" s="1"/>
  <c r="R99" i="38"/>
  <c r="S103" i="38"/>
  <c r="R101" i="38"/>
  <c r="R82" i="38" s="1"/>
  <c r="R78" i="38" s="1"/>
  <c r="R74" i="38" s="1"/>
  <c r="S114" i="38"/>
  <c r="T179" i="38"/>
  <c r="U181" i="38"/>
  <c r="U180" i="38" s="1"/>
  <c r="R176" i="38"/>
  <c r="P24" i="53" l="1"/>
  <c r="P22" i="53" s="1"/>
  <c r="P54" i="53" s="1"/>
  <c r="P36" i="44" s="1"/>
  <c r="P13" i="53"/>
  <c r="R79" i="53"/>
  <c r="R76" i="53"/>
  <c r="Q75" i="53"/>
  <c r="Q72" i="53"/>
  <c r="Q71" i="53" s="1"/>
  <c r="Q8" i="53" s="1"/>
  <c r="Q24" i="53" s="1"/>
  <c r="Q22" i="53" s="1"/>
  <c r="P72" i="38"/>
  <c r="P71" i="38" s="1"/>
  <c r="P8" i="38" s="1"/>
  <c r="P75" i="38"/>
  <c r="Q76" i="38"/>
  <c r="R80" i="38"/>
  <c r="O54" i="53"/>
  <c r="O36" i="44" s="1"/>
  <c r="S99" i="53"/>
  <c r="S80" i="53" s="1"/>
  <c r="S101" i="53"/>
  <c r="S82" i="53" s="1"/>
  <c r="S78" i="53" s="1"/>
  <c r="S74" i="53" s="1"/>
  <c r="T103" i="53"/>
  <c r="C30" i="44"/>
  <c r="AC49" i="38"/>
  <c r="C28" i="16" s="1"/>
  <c r="T178" i="38"/>
  <c r="S99" i="38"/>
  <c r="T107" i="38"/>
  <c r="S100" i="38"/>
  <c r="S81" i="38" s="1"/>
  <c r="S77" i="38" s="1"/>
  <c r="S73" i="38" s="1"/>
  <c r="T103" i="38"/>
  <c r="S101" i="38"/>
  <c r="S82" i="38" s="1"/>
  <c r="S78" i="38" s="1"/>
  <c r="S74" i="38" s="1"/>
  <c r="T114" i="38"/>
  <c r="S176" i="38"/>
  <c r="U179" i="38"/>
  <c r="V181" i="38"/>
  <c r="V180" i="38" s="1"/>
  <c r="R75" i="53" l="1"/>
  <c r="R72" i="53"/>
  <c r="R71" i="53" s="1"/>
  <c r="R8" i="53" s="1"/>
  <c r="R24" i="53" s="1"/>
  <c r="R22" i="53" s="1"/>
  <c r="S76" i="53"/>
  <c r="S79" i="53"/>
  <c r="Q72" i="38"/>
  <c r="Q75" i="38"/>
  <c r="R76" i="38"/>
  <c r="R79" i="38"/>
  <c r="Q36" i="53"/>
  <c r="Q34" i="53" s="1"/>
  <c r="Q54" i="53" s="1"/>
  <c r="Q36" i="44" s="1"/>
  <c r="Q13" i="53"/>
  <c r="S80" i="38"/>
  <c r="S79" i="38" s="1"/>
  <c r="T99" i="53"/>
  <c r="T80" i="53" s="1"/>
  <c r="AE49" i="38"/>
  <c r="U103" i="53"/>
  <c r="T101" i="53"/>
  <c r="T82" i="53" s="1"/>
  <c r="T78" i="53" s="1"/>
  <c r="T74" i="53" s="1"/>
  <c r="T99" i="38"/>
  <c r="U178" i="38"/>
  <c r="U107" i="38"/>
  <c r="T100" i="38"/>
  <c r="T81" i="38" s="1"/>
  <c r="T77" i="38" s="1"/>
  <c r="T73" i="38" s="1"/>
  <c r="U103" i="38"/>
  <c r="U99" i="38" s="1"/>
  <c r="U80" i="38" s="1"/>
  <c r="T101" i="38"/>
  <c r="T82" i="38" s="1"/>
  <c r="T78" i="38" s="1"/>
  <c r="T74" i="38" s="1"/>
  <c r="U114" i="38"/>
  <c r="V179" i="38"/>
  <c r="W181" i="38"/>
  <c r="W180" i="38" s="1"/>
  <c r="T176" i="38"/>
  <c r="S75" i="53" l="1"/>
  <c r="S72" i="53"/>
  <c r="S71" i="53" s="1"/>
  <c r="S8" i="53" s="1"/>
  <c r="S13" i="53" s="1"/>
  <c r="T76" i="53"/>
  <c r="T79" i="53"/>
  <c r="E81" i="16"/>
  <c r="Q71" i="38"/>
  <c r="Q8" i="38" s="1"/>
  <c r="E38" i="16" s="1"/>
  <c r="U76" i="38"/>
  <c r="R72" i="38"/>
  <c r="R71" i="38" s="1"/>
  <c r="R8" i="38" s="1"/>
  <c r="R75" i="38"/>
  <c r="R13" i="53"/>
  <c r="R36" i="53"/>
  <c r="R34" i="53" s="1"/>
  <c r="R54" i="53" s="1"/>
  <c r="R36" i="44" s="1"/>
  <c r="S76" i="38"/>
  <c r="T80" i="38"/>
  <c r="V103" i="53"/>
  <c r="U101" i="53"/>
  <c r="U82" i="53" s="1"/>
  <c r="U78" i="53" s="1"/>
  <c r="U74" i="53" s="1"/>
  <c r="U99" i="53"/>
  <c r="U80" i="53" s="1"/>
  <c r="V178" i="38"/>
  <c r="V107" i="38"/>
  <c r="U100" i="38"/>
  <c r="U81" i="38" s="1"/>
  <c r="U77" i="38" s="1"/>
  <c r="U73" i="38" s="1"/>
  <c r="V103" i="38"/>
  <c r="V99" i="38" s="1"/>
  <c r="V80" i="38" s="1"/>
  <c r="U101" i="38"/>
  <c r="U82" i="38" s="1"/>
  <c r="U78" i="38" s="1"/>
  <c r="U74" i="38" s="1"/>
  <c r="V114" i="38"/>
  <c r="U176" i="38"/>
  <c r="W179" i="38"/>
  <c r="X181" i="38"/>
  <c r="X180" i="38" s="1"/>
  <c r="T75" i="53" l="1"/>
  <c r="T72" i="53"/>
  <c r="T71" i="53" s="1"/>
  <c r="T8" i="53" s="1"/>
  <c r="T13" i="53" s="1"/>
  <c r="U76" i="53"/>
  <c r="U79" i="53"/>
  <c r="V76" i="38"/>
  <c r="T76" i="38"/>
  <c r="T79" i="38"/>
  <c r="U79" i="38"/>
  <c r="U72" i="38"/>
  <c r="U71" i="38" s="1"/>
  <c r="U75" i="38"/>
  <c r="S72" i="38"/>
  <c r="S71" i="38" s="1"/>
  <c r="S8" i="38" s="1"/>
  <c r="S75" i="38"/>
  <c r="S36" i="53"/>
  <c r="S34" i="53" s="1"/>
  <c r="S24" i="53"/>
  <c r="S22" i="53" s="1"/>
  <c r="W103" i="53"/>
  <c r="V101" i="53"/>
  <c r="V82" i="53" s="1"/>
  <c r="V78" i="53" s="1"/>
  <c r="V74" i="53" s="1"/>
  <c r="V99" i="53"/>
  <c r="V80" i="53" s="1"/>
  <c r="W178" i="38"/>
  <c r="W107" i="38"/>
  <c r="V100" i="38"/>
  <c r="V81" i="38" s="1"/>
  <c r="V77" i="38" s="1"/>
  <c r="V73" i="38" s="1"/>
  <c r="W103" i="38"/>
  <c r="W99" i="38" s="1"/>
  <c r="V101" i="38"/>
  <c r="V82" i="38" s="1"/>
  <c r="V78" i="38" s="1"/>
  <c r="V74" i="38" s="1"/>
  <c r="W114" i="38"/>
  <c r="Y181" i="38"/>
  <c r="Y180" i="38" s="1"/>
  <c r="X179" i="38"/>
  <c r="V176" i="38"/>
  <c r="T36" i="53" l="1"/>
  <c r="T34" i="53" s="1"/>
  <c r="T24" i="53"/>
  <c r="T22" i="53" s="1"/>
  <c r="V79" i="53"/>
  <c r="V76" i="53"/>
  <c r="U75" i="53"/>
  <c r="U72" i="53"/>
  <c r="U71" i="53" s="1"/>
  <c r="U8" i="53" s="1"/>
  <c r="T72" i="38"/>
  <c r="T71" i="38" s="1"/>
  <c r="T8" i="38" s="1"/>
  <c r="T75" i="38"/>
  <c r="V79" i="38"/>
  <c r="V72" i="38"/>
  <c r="V71" i="38" s="1"/>
  <c r="V75" i="38"/>
  <c r="S54" i="53"/>
  <c r="S36" i="44" s="1"/>
  <c r="U8" i="38"/>
  <c r="W80" i="38"/>
  <c r="W99" i="53"/>
  <c r="W80" i="53" s="1"/>
  <c r="W101" i="53"/>
  <c r="W82" i="53" s="1"/>
  <c r="W78" i="53" s="1"/>
  <c r="W74" i="53" s="1"/>
  <c r="X103" i="53"/>
  <c r="X178" i="38"/>
  <c r="X107" i="38"/>
  <c r="W100" i="38"/>
  <c r="W81" i="38" s="1"/>
  <c r="W77" i="38" s="1"/>
  <c r="W73" i="38" s="1"/>
  <c r="X103" i="38"/>
  <c r="X99" i="38" s="1"/>
  <c r="W101" i="38"/>
  <c r="W82" i="38" s="1"/>
  <c r="W78" i="38" s="1"/>
  <c r="W74" i="38" s="1"/>
  <c r="X114" i="38"/>
  <c r="Y179" i="38"/>
  <c r="Z181" i="38"/>
  <c r="Z180" i="38" s="1"/>
  <c r="W176" i="38"/>
  <c r="T54" i="53" l="1"/>
  <c r="T36" i="44" s="1"/>
  <c r="W79" i="53"/>
  <c r="W76" i="53"/>
  <c r="V75" i="53"/>
  <c r="V72" i="53"/>
  <c r="V71" i="53" s="1"/>
  <c r="V8" i="53" s="1"/>
  <c r="V24" i="53" s="1"/>
  <c r="V22" i="53" s="1"/>
  <c r="W76" i="38"/>
  <c r="W79" i="38"/>
  <c r="V8" i="38"/>
  <c r="X80" i="38"/>
  <c r="U36" i="53"/>
  <c r="U34" i="53" s="1"/>
  <c r="U13" i="53"/>
  <c r="U24" i="53"/>
  <c r="U22" i="53" s="1"/>
  <c r="Y103" i="53"/>
  <c r="X101" i="53"/>
  <c r="X82" i="53" s="1"/>
  <c r="X78" i="53" s="1"/>
  <c r="X74" i="53" s="1"/>
  <c r="X99" i="53"/>
  <c r="X80" i="53" s="1"/>
  <c r="Y178" i="38"/>
  <c r="Y107" i="38"/>
  <c r="X100" i="38"/>
  <c r="X81" i="38" s="1"/>
  <c r="X77" i="38" s="1"/>
  <c r="X73" i="38" s="1"/>
  <c r="Y103" i="38"/>
  <c r="Y99" i="38" s="1"/>
  <c r="Y80" i="38" s="1"/>
  <c r="X101" i="38"/>
  <c r="X82" i="38" s="1"/>
  <c r="X78" i="38" s="1"/>
  <c r="X74" i="38" s="1"/>
  <c r="Y114" i="38"/>
  <c r="X176" i="38"/>
  <c r="Z179" i="38"/>
  <c r="AA181" i="38"/>
  <c r="X79" i="53" l="1"/>
  <c r="X76" i="53"/>
  <c r="W72" i="53"/>
  <c r="W71" i="53" s="1"/>
  <c r="W8" i="53" s="1"/>
  <c r="W24" i="53" s="1"/>
  <c r="W22" i="53" s="1"/>
  <c r="W75" i="53"/>
  <c r="Y76" i="38"/>
  <c r="X76" i="38"/>
  <c r="X79" i="38"/>
  <c r="W72" i="38"/>
  <c r="W71" i="38" s="1"/>
  <c r="W8" i="38" s="1"/>
  <c r="W75" i="38"/>
  <c r="U54" i="53"/>
  <c r="U36" i="44" s="1"/>
  <c r="V13" i="53"/>
  <c r="V36" i="53"/>
  <c r="V34" i="53" s="1"/>
  <c r="V54" i="53" s="1"/>
  <c r="V36" i="44" s="1"/>
  <c r="Y101" i="53"/>
  <c r="Y82" i="53" s="1"/>
  <c r="Y78" i="53" s="1"/>
  <c r="Y74" i="53" s="1"/>
  <c r="Z103" i="53"/>
  <c r="Y99" i="53"/>
  <c r="Y80" i="53" s="1"/>
  <c r="AA180" i="38"/>
  <c r="AA179" i="38" s="1"/>
  <c r="Z178" i="38"/>
  <c r="Z107" i="38"/>
  <c r="Y100" i="38"/>
  <c r="Y81" i="38" s="1"/>
  <c r="Y77" i="38" s="1"/>
  <c r="Y73" i="38" s="1"/>
  <c r="Z103" i="38"/>
  <c r="Z99" i="38" s="1"/>
  <c r="Y101" i="38"/>
  <c r="Y82" i="38" s="1"/>
  <c r="Y78" i="38" s="1"/>
  <c r="Y74" i="38" s="1"/>
  <c r="Z114" i="38"/>
  <c r="Y176" i="38"/>
  <c r="W13" i="53" l="1"/>
  <c r="W36" i="53"/>
  <c r="W34" i="53" s="1"/>
  <c r="W54" i="53" s="1"/>
  <c r="W36" i="44" s="1"/>
  <c r="Y79" i="53"/>
  <c r="Y76" i="53"/>
  <c r="X72" i="53"/>
  <c r="X71" i="53" s="1"/>
  <c r="X8" i="53" s="1"/>
  <c r="X75" i="53"/>
  <c r="X72" i="38"/>
  <c r="X71" i="38" s="1"/>
  <c r="X8" i="38" s="1"/>
  <c r="X75" i="38"/>
  <c r="Y79" i="38"/>
  <c r="Y72" i="38"/>
  <c r="Y71" i="38" s="1"/>
  <c r="Y75" i="38"/>
  <c r="Z80" i="38"/>
  <c r="AA178" i="38"/>
  <c r="F127" i="16" s="1"/>
  <c r="Z99" i="53"/>
  <c r="Z80" i="53" s="1"/>
  <c r="AA103" i="53"/>
  <c r="Z101" i="53"/>
  <c r="Z82" i="53" s="1"/>
  <c r="Z78" i="53" s="1"/>
  <c r="Z74" i="53" s="1"/>
  <c r="AA107" i="38"/>
  <c r="AA100" i="38" s="1"/>
  <c r="AA81" i="38" s="1"/>
  <c r="AA77" i="38" s="1"/>
  <c r="AA73" i="38" s="1"/>
  <c r="F82" i="16" s="1"/>
  <c r="Z100" i="38"/>
  <c r="Z81" i="38" s="1"/>
  <c r="Z77" i="38" s="1"/>
  <c r="Z73" i="38" s="1"/>
  <c r="Z101" i="38"/>
  <c r="Z82" i="38" s="1"/>
  <c r="Z78" i="38" s="1"/>
  <c r="Z74" i="38" s="1"/>
  <c r="AA103" i="38"/>
  <c r="AA114" i="38"/>
  <c r="Z176" i="38"/>
  <c r="Z79" i="53" l="1"/>
  <c r="Z76" i="53"/>
  <c r="Y75" i="53"/>
  <c r="Y72" i="53"/>
  <c r="Y71" i="53" s="1"/>
  <c r="Y8" i="53" s="1"/>
  <c r="Y13" i="53" s="1"/>
  <c r="Z76" i="38"/>
  <c r="Z79" i="38"/>
  <c r="Y8" i="38"/>
  <c r="AA176" i="38"/>
  <c r="X24" i="53"/>
  <c r="X22" i="53" s="1"/>
  <c r="X36" i="53"/>
  <c r="X34" i="53" s="1"/>
  <c r="X13" i="53"/>
  <c r="AA101" i="53"/>
  <c r="AA82" i="53" s="1"/>
  <c r="AA78" i="53" s="1"/>
  <c r="AA74" i="53" s="1"/>
  <c r="AA99" i="53"/>
  <c r="AA80" i="53" s="1"/>
  <c r="AA99" i="38"/>
  <c r="AA101" i="38"/>
  <c r="AA82" i="38" s="1"/>
  <c r="AA78" i="38" s="1"/>
  <c r="AA74" i="38" s="1"/>
  <c r="F83" i="16" s="1"/>
  <c r="F91" i="16"/>
  <c r="Y36" i="53" l="1"/>
  <c r="Y34" i="53" s="1"/>
  <c r="AA79" i="53"/>
  <c r="AA76" i="53"/>
  <c r="Z72" i="53"/>
  <c r="Z71" i="53" s="1"/>
  <c r="Z8" i="53" s="1"/>
  <c r="Z36" i="53" s="1"/>
  <c r="Z34" i="53" s="1"/>
  <c r="Z75" i="53"/>
  <c r="Z72" i="38"/>
  <c r="Z71" i="38" s="1"/>
  <c r="Z8" i="38" s="1"/>
  <c r="Z75" i="38"/>
  <c r="Y24" i="53"/>
  <c r="Y22" i="53" s="1"/>
  <c r="AA80" i="38"/>
  <c r="X54" i="53"/>
  <c r="X36" i="44" s="1"/>
  <c r="F117" i="16"/>
  <c r="Y54" i="53" l="1"/>
  <c r="Y36" i="44" s="1"/>
  <c r="AA75" i="53"/>
  <c r="AA72" i="53"/>
  <c r="AA71" i="53" s="1"/>
  <c r="AA8" i="53" s="1"/>
  <c r="AA24" i="53" s="1"/>
  <c r="AA22" i="53" s="1"/>
  <c r="AA76" i="38"/>
  <c r="AA79" i="38"/>
  <c r="Z13" i="53"/>
  <c r="Z24" i="53"/>
  <c r="Z22" i="53" s="1"/>
  <c r="Z54" i="53" s="1"/>
  <c r="Z36" i="44" s="1"/>
  <c r="F49" i="16"/>
  <c r="F48" i="16" s="1"/>
  <c r="AA72" i="38" l="1"/>
  <c r="AA75" i="38"/>
  <c r="AA13" i="53"/>
  <c r="AA36" i="53"/>
  <c r="AA34" i="53" s="1"/>
  <c r="AA54" i="53" s="1"/>
  <c r="AA36" i="44" s="1"/>
  <c r="F81" i="16" l="1"/>
  <c r="AA71" i="38"/>
  <c r="AA8" i="38" s="1"/>
  <c r="E204" i="38"/>
  <c r="C202" i="38"/>
  <c r="C58" i="16" a="1"/>
  <c r="C58" i="16" s="1"/>
  <c r="D9" i="16" l="1"/>
  <c r="F38" i="16"/>
  <c r="I202" i="38"/>
  <c r="M202" i="38"/>
  <c r="Q202" i="38"/>
  <c r="U202" i="38"/>
  <c r="Y202" i="38"/>
  <c r="S202" i="38"/>
  <c r="AA202" i="38"/>
  <c r="L202" i="38"/>
  <c r="P202" i="38"/>
  <c r="X202" i="38"/>
  <c r="G202" i="38"/>
  <c r="J202" i="38"/>
  <c r="N202" i="38"/>
  <c r="R202" i="38"/>
  <c r="V202" i="38"/>
  <c r="Z202" i="38"/>
  <c r="K202" i="38"/>
  <c r="O202" i="38"/>
  <c r="W202" i="38"/>
  <c r="H202" i="38"/>
  <c r="T202" i="38"/>
  <c r="J204" i="38"/>
  <c r="J47" i="38" s="1"/>
  <c r="J46" i="38" s="1"/>
  <c r="N204" i="38"/>
  <c r="N47" i="38" s="1"/>
  <c r="N46" i="38" s="1"/>
  <c r="R204" i="38"/>
  <c r="R47" i="38" s="1"/>
  <c r="R46" i="38" s="1"/>
  <c r="V204" i="38"/>
  <c r="V47" i="38" s="1"/>
  <c r="V46" i="38" s="1"/>
  <c r="Z204" i="38"/>
  <c r="Z47" i="38" s="1"/>
  <c r="Z46" i="38" s="1"/>
  <c r="L204" i="38"/>
  <c r="L47" i="38" s="1"/>
  <c r="L46" i="38" s="1"/>
  <c r="T204" i="38"/>
  <c r="T47" i="38" s="1"/>
  <c r="T46" i="38" s="1"/>
  <c r="G204" i="38"/>
  <c r="G47" i="38" s="1"/>
  <c r="G46" i="38" s="1"/>
  <c r="M204" i="38"/>
  <c r="M47" i="38" s="1"/>
  <c r="M46" i="38" s="1"/>
  <c r="Q204" i="38"/>
  <c r="Q47" i="38" s="1"/>
  <c r="Q46" i="38" s="1"/>
  <c r="Y204" i="38"/>
  <c r="Y47" i="38" s="1"/>
  <c r="Y46" i="38" s="1"/>
  <c r="K204" i="38"/>
  <c r="K47" i="38" s="1"/>
  <c r="K46" i="38" s="1"/>
  <c r="O204" i="38"/>
  <c r="O47" i="38" s="1"/>
  <c r="O46" i="38" s="1"/>
  <c r="S204" i="38"/>
  <c r="S47" i="38" s="1"/>
  <c r="S46" i="38" s="1"/>
  <c r="W204" i="38"/>
  <c r="W47" i="38" s="1"/>
  <c r="W46" i="38" s="1"/>
  <c r="AA204" i="38"/>
  <c r="AA47" i="38" s="1"/>
  <c r="AA46" i="38" s="1"/>
  <c r="H204" i="38"/>
  <c r="H47" i="38" s="1"/>
  <c r="H46" i="38" s="1"/>
  <c r="P204" i="38"/>
  <c r="P47" i="38" s="1"/>
  <c r="P46" i="38" s="1"/>
  <c r="X204" i="38"/>
  <c r="X47" i="38" s="1"/>
  <c r="X46" i="38" s="1"/>
  <c r="I204" i="38"/>
  <c r="I47" i="38" s="1"/>
  <c r="I46" i="38" s="1"/>
  <c r="U204" i="38"/>
  <c r="U47" i="38" s="1"/>
  <c r="U46" i="38" s="1"/>
  <c r="F204" i="38"/>
  <c r="D204" i="38"/>
  <c r="E202" i="38"/>
  <c r="F202" i="38"/>
  <c r="D202" i="38"/>
  <c r="H32" i="38"/>
  <c r="L32" i="38"/>
  <c r="P32" i="38"/>
  <c r="T32" i="38"/>
  <c r="X32" i="38"/>
  <c r="G32" i="38"/>
  <c r="I32" i="38"/>
  <c r="M32" i="38"/>
  <c r="Q32" i="38"/>
  <c r="U32" i="38"/>
  <c r="Y32" i="38"/>
  <c r="O32" i="38"/>
  <c r="W32" i="38"/>
  <c r="J32" i="38"/>
  <c r="N32" i="38"/>
  <c r="R32" i="38"/>
  <c r="V32" i="38"/>
  <c r="Z32" i="38"/>
  <c r="K32" i="38"/>
  <c r="S32" i="38"/>
  <c r="AA32" i="38"/>
  <c r="C117" i="16"/>
  <c r="F58" i="16"/>
  <c r="E58" i="16"/>
  <c r="D58" i="16"/>
  <c r="K203" i="38" l="1"/>
  <c r="T203" i="38"/>
  <c r="Y203" i="38"/>
  <c r="G203" i="38"/>
  <c r="C136" i="16" s="1"/>
  <c r="L203" i="38"/>
  <c r="D136" i="16" s="1"/>
  <c r="Q203" i="38"/>
  <c r="E136" i="16" s="1"/>
  <c r="P201" i="38"/>
  <c r="Z201" i="38"/>
  <c r="V201" i="38"/>
  <c r="L201" i="38"/>
  <c r="D135" i="16" s="1"/>
  <c r="R201" i="38"/>
  <c r="E12" i="38"/>
  <c r="V203" i="38"/>
  <c r="I203" i="38"/>
  <c r="N203" i="38"/>
  <c r="AA203" i="38"/>
  <c r="F136" i="16" s="1"/>
  <c r="X203" i="38"/>
  <c r="H201" i="38"/>
  <c r="U201" i="38"/>
  <c r="I201" i="38"/>
  <c r="M201" i="38"/>
  <c r="W203" i="38"/>
  <c r="P203" i="38"/>
  <c r="U203" i="38"/>
  <c r="Z203" i="38"/>
  <c r="H203" i="38"/>
  <c r="W201" i="38"/>
  <c r="T201" i="38"/>
  <c r="G201" i="38"/>
  <c r="C135" i="16" s="1"/>
  <c r="J201" i="38"/>
  <c r="N201" i="38"/>
  <c r="F12" i="38"/>
  <c r="M203" i="38"/>
  <c r="R203" i="38"/>
  <c r="O203" i="38"/>
  <c r="J203" i="38"/>
  <c r="S203" i="38"/>
  <c r="Y201" i="38"/>
  <c r="S201" i="38"/>
  <c r="O201" i="38"/>
  <c r="D117" i="16"/>
  <c r="E117" i="16"/>
  <c r="C49" i="16"/>
  <c r="X201" i="38" l="1"/>
  <c r="X200" i="38" s="1"/>
  <c r="Q201" i="38"/>
  <c r="K201" i="38"/>
  <c r="K200" i="38" s="1"/>
  <c r="AA201" i="38"/>
  <c r="I200" i="38"/>
  <c r="L200" i="38"/>
  <c r="U200" i="38"/>
  <c r="O200" i="38"/>
  <c r="Y200" i="38"/>
  <c r="J200" i="38"/>
  <c r="T200" i="38"/>
  <c r="S200" i="38"/>
  <c r="W200" i="38"/>
  <c r="S27" i="44"/>
  <c r="M27" i="44"/>
  <c r="Z27" i="44"/>
  <c r="P27" i="44"/>
  <c r="C166" i="38"/>
  <c r="X27" i="44"/>
  <c r="N27" i="44"/>
  <c r="V27" i="44"/>
  <c r="R200" i="38"/>
  <c r="V200" i="38"/>
  <c r="P200" i="38"/>
  <c r="L27" i="44"/>
  <c r="J27" i="44"/>
  <c r="R27" i="44"/>
  <c r="H200" i="38"/>
  <c r="N200" i="38"/>
  <c r="Q27" i="44"/>
  <c r="G200" i="38"/>
  <c r="U27" i="44"/>
  <c r="W27" i="44"/>
  <c r="Z200" i="38"/>
  <c r="G27" i="44"/>
  <c r="T27" i="44"/>
  <c r="O27" i="44"/>
  <c r="H27" i="44"/>
  <c r="M200" i="38"/>
  <c r="AA27" i="44"/>
  <c r="I27" i="44"/>
  <c r="Y27" i="44"/>
  <c r="K27" i="44"/>
  <c r="C48" i="16"/>
  <c r="D49" i="16"/>
  <c r="E49" i="16"/>
  <c r="G166" i="38" l="1"/>
  <c r="G165" i="38" s="1"/>
  <c r="G164" i="38" s="1"/>
  <c r="K166" i="38"/>
  <c r="K165" i="38" s="1"/>
  <c r="K164" i="38" s="1"/>
  <c r="O166" i="38"/>
  <c r="O165" i="38" s="1"/>
  <c r="O164" i="38" s="1"/>
  <c r="S166" i="38"/>
  <c r="S165" i="38" s="1"/>
  <c r="S164" i="38" s="1"/>
  <c r="W166" i="38"/>
  <c r="W165" i="38" s="1"/>
  <c r="W164" i="38" s="1"/>
  <c r="AA166" i="38"/>
  <c r="AA165" i="38" s="1"/>
  <c r="AA164" i="38" s="1"/>
  <c r="I166" i="38"/>
  <c r="I165" i="38" s="1"/>
  <c r="I164" i="38" s="1"/>
  <c r="U166" i="38"/>
  <c r="U165" i="38" s="1"/>
  <c r="U164" i="38" s="1"/>
  <c r="J166" i="38"/>
  <c r="J165" i="38" s="1"/>
  <c r="J164" i="38" s="1"/>
  <c r="R166" i="38"/>
  <c r="R165" i="38" s="1"/>
  <c r="R164" i="38" s="1"/>
  <c r="Z166" i="38"/>
  <c r="Z165" i="38" s="1"/>
  <c r="Z164" i="38" s="1"/>
  <c r="H166" i="38"/>
  <c r="H165" i="38" s="1"/>
  <c r="H164" i="38" s="1"/>
  <c r="L166" i="38"/>
  <c r="L165" i="38" s="1"/>
  <c r="L164" i="38" s="1"/>
  <c r="P166" i="38"/>
  <c r="P165" i="38" s="1"/>
  <c r="P164" i="38" s="1"/>
  <c r="T166" i="38"/>
  <c r="T165" i="38" s="1"/>
  <c r="T164" i="38" s="1"/>
  <c r="X166" i="38"/>
  <c r="X165" i="38" s="1"/>
  <c r="X164" i="38" s="1"/>
  <c r="D166" i="38"/>
  <c r="E166" i="38"/>
  <c r="M166" i="38"/>
  <c r="M165" i="38" s="1"/>
  <c r="M164" i="38" s="1"/>
  <c r="Q166" i="38"/>
  <c r="Q165" i="38" s="1"/>
  <c r="Q164" i="38" s="1"/>
  <c r="Y166" i="38"/>
  <c r="Y165" i="38" s="1"/>
  <c r="Y164" i="38" s="1"/>
  <c r="F166" i="38"/>
  <c r="N166" i="38"/>
  <c r="N165" i="38" s="1"/>
  <c r="N164" i="38" s="1"/>
  <c r="V166" i="38"/>
  <c r="V165" i="38" s="1"/>
  <c r="V164" i="38" s="1"/>
  <c r="AA200" i="38"/>
  <c r="F135" i="16"/>
  <c r="F134" i="16" s="1"/>
  <c r="Q200" i="38"/>
  <c r="E135" i="16"/>
  <c r="B27" i="44"/>
  <c r="C134" i="16"/>
  <c r="E48" i="16"/>
  <c r="D48" i="16"/>
  <c r="C125" i="16"/>
  <c r="AC46" i="38" l="1"/>
  <c r="C27" i="44"/>
  <c r="C112" i="16"/>
  <c r="C27" i="16" l="1"/>
  <c r="AE46" i="38"/>
  <c r="E134" i="16"/>
  <c r="D134" i="16"/>
  <c r="D125" i="16" l="1"/>
  <c r="D112" i="16" l="1"/>
  <c r="D111" i="16" l="1"/>
  <c r="E125" i="16" l="1"/>
  <c r="C111" i="16" l="1"/>
  <c r="E112" i="16" l="1"/>
  <c r="E111" i="16" l="1"/>
  <c r="F125" i="16" l="1"/>
  <c r="F116" i="16" l="1"/>
  <c r="F115" i="16" s="1"/>
  <c r="E116" i="16"/>
  <c r="E115" i="16" s="1"/>
  <c r="D116" i="16"/>
  <c r="D115" i="16" s="1"/>
  <c r="C116" i="16"/>
  <c r="C115" i="16" s="1"/>
  <c r="X157" i="38"/>
  <c r="T157" i="38"/>
  <c r="P157" i="38"/>
  <c r="L157" i="38"/>
  <c r="H157" i="38"/>
  <c r="AA157" i="38"/>
  <c r="W157" i="38"/>
  <c r="S157" i="38"/>
  <c r="O157" i="38"/>
  <c r="K157" i="38"/>
  <c r="G157" i="38"/>
  <c r="Z157" i="38"/>
  <c r="V157" i="38"/>
  <c r="R157" i="38"/>
  <c r="N157" i="38"/>
  <c r="J157" i="38"/>
  <c r="Y157" i="38"/>
  <c r="U157" i="38"/>
  <c r="Q157" i="38"/>
  <c r="M157" i="38"/>
  <c r="I157" i="38"/>
  <c r="M155" i="38" l="1"/>
  <c r="M156" i="38"/>
  <c r="S155" i="38"/>
  <c r="S156" i="38"/>
  <c r="Q155" i="38"/>
  <c r="Q156" i="38"/>
  <c r="N156" i="38"/>
  <c r="N155" i="38"/>
  <c r="G155" i="38"/>
  <c r="G156" i="38"/>
  <c r="W155" i="38"/>
  <c r="W156" i="38"/>
  <c r="P155" i="38"/>
  <c r="P156" i="38"/>
  <c r="Z156" i="38"/>
  <c r="Z155" i="38"/>
  <c r="R156" i="38"/>
  <c r="R155" i="38"/>
  <c r="K155" i="38"/>
  <c r="K156" i="38"/>
  <c r="AA155" i="38"/>
  <c r="AA156" i="38"/>
  <c r="T155" i="38"/>
  <c r="T156" i="38"/>
  <c r="J156" i="38"/>
  <c r="J155" i="38"/>
  <c r="L155" i="38"/>
  <c r="L156" i="38"/>
  <c r="U155" i="38"/>
  <c r="U156" i="38"/>
  <c r="I155" i="38"/>
  <c r="I156" i="38"/>
  <c r="Y155" i="38"/>
  <c r="Y156" i="38"/>
  <c r="V156" i="38"/>
  <c r="V155" i="38"/>
  <c r="O155" i="38"/>
  <c r="O156" i="38"/>
  <c r="H155" i="38"/>
  <c r="H156" i="38"/>
  <c r="X155" i="38"/>
  <c r="X156" i="38"/>
  <c r="F112" i="16"/>
  <c r="F118" i="16" l="1"/>
  <c r="F114" i="16" s="1"/>
  <c r="E118" i="16"/>
  <c r="E114" i="16" s="1"/>
  <c r="E110" i="16" s="1"/>
  <c r="D118" i="16"/>
  <c r="D114" i="16" s="1"/>
  <c r="D110" i="16" s="1"/>
  <c r="C118" i="16"/>
  <c r="AA158" i="38"/>
  <c r="AA154" i="38" s="1"/>
  <c r="AA152" i="38" s="1"/>
  <c r="W158" i="38"/>
  <c r="W25" i="38" s="1"/>
  <c r="S158" i="38"/>
  <c r="S154" i="38" s="1"/>
  <c r="S152" i="38" s="1"/>
  <c r="O158" i="38"/>
  <c r="O25" i="38" s="1"/>
  <c r="K158" i="38"/>
  <c r="K154" i="38" s="1"/>
  <c r="K152" i="38" s="1"/>
  <c r="G158" i="38"/>
  <c r="G154" i="38" s="1"/>
  <c r="G152" i="38" s="1"/>
  <c r="Z158" i="38"/>
  <c r="Z25" i="38" s="1"/>
  <c r="V158" i="38"/>
  <c r="V154" i="38" s="1"/>
  <c r="V152" i="38" s="1"/>
  <c r="R158" i="38"/>
  <c r="R154" i="38" s="1"/>
  <c r="R152" i="38" s="1"/>
  <c r="N158" i="38"/>
  <c r="N25" i="38" s="1"/>
  <c r="J158" i="38"/>
  <c r="J154" i="38" s="1"/>
  <c r="J152" i="38" s="1"/>
  <c r="Y158" i="38"/>
  <c r="Y25" i="38" s="1"/>
  <c r="U158" i="38"/>
  <c r="U25" i="38" s="1"/>
  <c r="Q158" i="38"/>
  <c r="Q154" i="38" s="1"/>
  <c r="Q152" i="38" s="1"/>
  <c r="M158" i="38"/>
  <c r="M25" i="38" s="1"/>
  <c r="I158" i="38"/>
  <c r="I154" i="38" s="1"/>
  <c r="I152" i="38" s="1"/>
  <c r="X158" i="38"/>
  <c r="X154" i="38" s="1"/>
  <c r="X152" i="38" s="1"/>
  <c r="T158" i="38"/>
  <c r="T25" i="38" s="1"/>
  <c r="P158" i="38"/>
  <c r="P154" i="38" s="1"/>
  <c r="P152" i="38" s="1"/>
  <c r="L158" i="38"/>
  <c r="L25" i="38" s="1"/>
  <c r="H158" i="38"/>
  <c r="H154" i="38" s="1"/>
  <c r="H152" i="38" s="1"/>
  <c r="F111" i="16"/>
  <c r="G25" i="38" l="1"/>
  <c r="F110" i="16"/>
  <c r="R25" i="38"/>
  <c r="R37" i="38" s="1"/>
  <c r="R40" i="38" s="1"/>
  <c r="R41" i="38" s="1"/>
  <c r="AA25" i="38"/>
  <c r="AA37" i="38" s="1"/>
  <c r="AA40" i="38" s="1"/>
  <c r="AA41" i="38" s="1"/>
  <c r="H25" i="38"/>
  <c r="Q25" i="38"/>
  <c r="I25" i="38"/>
  <c r="S25" i="38"/>
  <c r="J25" i="38"/>
  <c r="P25" i="38"/>
  <c r="V25" i="38"/>
  <c r="K25" i="38"/>
  <c r="X25" i="38"/>
  <c r="L154" i="38"/>
  <c r="L152" i="38" s="1"/>
  <c r="L37" i="38" s="1"/>
  <c r="L40" i="38" s="1"/>
  <c r="N154" i="38"/>
  <c r="N152" i="38" s="1"/>
  <c r="N37" i="38" s="1"/>
  <c r="N40" i="38" s="1"/>
  <c r="N41" i="38" s="1"/>
  <c r="T154" i="38"/>
  <c r="T152" i="38" s="1"/>
  <c r="T37" i="38" s="1"/>
  <c r="T40" i="38" s="1"/>
  <c r="T41" i="38" s="1"/>
  <c r="M154" i="38"/>
  <c r="M152" i="38" s="1"/>
  <c r="M37" i="38" s="1"/>
  <c r="M40" i="38" s="1"/>
  <c r="M41" i="38" s="1"/>
  <c r="W154" i="38"/>
  <c r="W152" i="38" s="1"/>
  <c r="W37" i="38" s="1"/>
  <c r="W40" i="38" s="1"/>
  <c r="W41" i="38" s="1"/>
  <c r="Y154" i="38"/>
  <c r="Y152" i="38" s="1"/>
  <c r="Y37" i="38" s="1"/>
  <c r="Y40" i="38" s="1"/>
  <c r="Y41" i="38" s="1"/>
  <c r="Z154" i="38"/>
  <c r="Z152" i="38" s="1"/>
  <c r="Z37" i="38" s="1"/>
  <c r="Z40" i="38" s="1"/>
  <c r="Z41" i="38" s="1"/>
  <c r="U154" i="38"/>
  <c r="U152" i="38" s="1"/>
  <c r="U37" i="38" s="1"/>
  <c r="U40" i="38" s="1"/>
  <c r="U41" i="38" s="1"/>
  <c r="O154" i="38"/>
  <c r="O152" i="38" s="1"/>
  <c r="O37" i="38" s="1"/>
  <c r="O40" i="38" s="1"/>
  <c r="O41" i="38" s="1"/>
  <c r="W28" i="38" l="1"/>
  <c r="W29" i="38" s="1"/>
  <c r="T28" i="38"/>
  <c r="T29" i="38" s="1"/>
  <c r="Z28" i="38"/>
  <c r="Z29" i="38" s="1"/>
  <c r="O28" i="38"/>
  <c r="O29" i="38" s="1"/>
  <c r="AA28" i="38"/>
  <c r="AA29" i="38" s="1"/>
  <c r="R28" i="38"/>
  <c r="R29" i="38" s="1"/>
  <c r="N28" i="38"/>
  <c r="N29" i="38" s="1"/>
  <c r="M28" i="38"/>
  <c r="M29" i="38" s="1"/>
  <c r="U28" i="38"/>
  <c r="U29" i="38" s="1"/>
  <c r="L28" i="38"/>
  <c r="L29" i="38" s="1"/>
  <c r="Y28" i="38"/>
  <c r="Y29" i="38" s="1"/>
  <c r="AA38" i="38"/>
  <c r="G37" i="38"/>
  <c r="G39" i="38" s="1"/>
  <c r="M27" i="38"/>
  <c r="I37" i="38"/>
  <c r="I40" i="38" s="1"/>
  <c r="I41" i="38" s="1"/>
  <c r="N26" i="38"/>
  <c r="U26" i="38"/>
  <c r="V37" i="38"/>
  <c r="Z27" i="38"/>
  <c r="J37" i="38"/>
  <c r="Q37" i="38"/>
  <c r="Q28" i="38" s="1"/>
  <c r="Q29" i="38" s="1"/>
  <c r="W26" i="38"/>
  <c r="L41" i="38"/>
  <c r="K37" i="38"/>
  <c r="K28" i="38" s="1"/>
  <c r="K29" i="38" s="1"/>
  <c r="S37" i="38"/>
  <c r="AA26" i="38"/>
  <c r="AA39" i="38"/>
  <c r="AA27" i="38"/>
  <c r="P37" i="38"/>
  <c r="P40" i="38" s="1"/>
  <c r="P41" i="38" s="1"/>
  <c r="U27" i="38"/>
  <c r="R26" i="38"/>
  <c r="R39" i="38"/>
  <c r="H37" i="38"/>
  <c r="H40" i="38" s="1"/>
  <c r="H41" i="38" s="1"/>
  <c r="W27" i="38"/>
  <c r="R38" i="38"/>
  <c r="R27" i="38"/>
  <c r="Y38" i="38"/>
  <c r="Y39" i="38"/>
  <c r="O38" i="38"/>
  <c r="O39" i="38"/>
  <c r="U38" i="38"/>
  <c r="U39" i="38"/>
  <c r="M38" i="38"/>
  <c r="M39" i="38"/>
  <c r="T38" i="38"/>
  <c r="T39" i="38"/>
  <c r="L38" i="38"/>
  <c r="L39" i="38"/>
  <c r="T26" i="38"/>
  <c r="Z26" i="38"/>
  <c r="M26" i="38"/>
  <c r="T27" i="38"/>
  <c r="O26" i="38"/>
  <c r="Y26" i="38"/>
  <c r="L26" i="38"/>
  <c r="Z38" i="38"/>
  <c r="Z39" i="38"/>
  <c r="N38" i="38"/>
  <c r="N39" i="38"/>
  <c r="W38" i="38"/>
  <c r="W39" i="38"/>
  <c r="N27" i="38"/>
  <c r="O27" i="38"/>
  <c r="Y27" i="38"/>
  <c r="L27" i="38"/>
  <c r="X37" i="38"/>
  <c r="X40" i="38" s="1"/>
  <c r="X41" i="38" s="1"/>
  <c r="K27" i="38" l="1"/>
  <c r="AA36" i="38"/>
  <c r="AA35" i="38" s="1"/>
  <c r="P28" i="38"/>
  <c r="P29" i="38" s="1"/>
  <c r="V40" i="38"/>
  <c r="V41" i="38" s="1"/>
  <c r="S40" i="38"/>
  <c r="S41" i="38" s="1"/>
  <c r="J40" i="38"/>
  <c r="J41" i="38" s="1"/>
  <c r="G26" i="38"/>
  <c r="G40" i="38"/>
  <c r="G41" i="38" s="1"/>
  <c r="H28" i="38"/>
  <c r="H29" i="38" s="1"/>
  <c r="J28" i="38"/>
  <c r="J29" i="38" s="1"/>
  <c r="I28" i="38"/>
  <c r="I29" i="38" s="1"/>
  <c r="Q40" i="38"/>
  <c r="Q41" i="38" s="1"/>
  <c r="K40" i="38"/>
  <c r="K41" i="38" s="1"/>
  <c r="S28" i="38"/>
  <c r="S29" i="38" s="1"/>
  <c r="X28" i="38"/>
  <c r="X29" i="38" s="1"/>
  <c r="G28" i="38"/>
  <c r="G29" i="38" s="1"/>
  <c r="V28" i="38"/>
  <c r="V29" i="38" s="1"/>
  <c r="M24" i="38"/>
  <c r="M23" i="38" s="1"/>
  <c r="J26" i="38"/>
  <c r="S27" i="38"/>
  <c r="Q38" i="38"/>
  <c r="S38" i="38"/>
  <c r="N24" i="38"/>
  <c r="N23" i="38" s="1"/>
  <c r="K39" i="38"/>
  <c r="V38" i="38"/>
  <c r="V39" i="38"/>
  <c r="K26" i="38"/>
  <c r="Q27" i="38"/>
  <c r="K38" i="38"/>
  <c r="W24" i="38"/>
  <c r="W23" i="38" s="1"/>
  <c r="V27" i="38"/>
  <c r="V26" i="38"/>
  <c r="Q26" i="38"/>
  <c r="J39" i="38"/>
  <c r="I39" i="38"/>
  <c r="S39" i="38"/>
  <c r="U24" i="38"/>
  <c r="U23" i="38" s="1"/>
  <c r="J27" i="38"/>
  <c r="X27" i="38"/>
  <c r="I38" i="38"/>
  <c r="I27" i="38"/>
  <c r="Z24" i="38"/>
  <c r="Z23" i="38" s="1"/>
  <c r="S26" i="38"/>
  <c r="I26" i="38"/>
  <c r="G38" i="38"/>
  <c r="G36" i="38" s="1"/>
  <c r="J38" i="38"/>
  <c r="G27" i="38"/>
  <c r="Q39" i="38"/>
  <c r="AA24" i="38"/>
  <c r="AA23" i="38" s="1"/>
  <c r="N36" i="38"/>
  <c r="N35" i="38" s="1"/>
  <c r="L36" i="38"/>
  <c r="L35" i="38" s="1"/>
  <c r="O36" i="38"/>
  <c r="O35" i="38" s="1"/>
  <c r="P38" i="38"/>
  <c r="P39" i="38"/>
  <c r="P27" i="38"/>
  <c r="P26" i="38"/>
  <c r="M36" i="38"/>
  <c r="M35" i="38" s="1"/>
  <c r="W36" i="38"/>
  <c r="W35" i="38" s="1"/>
  <c r="Y36" i="38"/>
  <c r="Y35" i="38" s="1"/>
  <c r="H38" i="38"/>
  <c r="H27" i="38"/>
  <c r="H39" i="38"/>
  <c r="Z36" i="38"/>
  <c r="Z35" i="38" s="1"/>
  <c r="O24" i="38"/>
  <c r="O23" i="38" s="1"/>
  <c r="T36" i="38"/>
  <c r="T35" i="38" s="1"/>
  <c r="U36" i="38"/>
  <c r="U35" i="38" s="1"/>
  <c r="R36" i="38"/>
  <c r="R35" i="38" s="1"/>
  <c r="R24" i="38"/>
  <c r="R23" i="38" s="1"/>
  <c r="H26" i="38"/>
  <c r="X26" i="38"/>
  <c r="T24" i="38"/>
  <c r="T23" i="38" s="1"/>
  <c r="L24" i="38"/>
  <c r="L23" i="38" s="1"/>
  <c r="X38" i="38"/>
  <c r="X39" i="38"/>
  <c r="Y24" i="38"/>
  <c r="Y23" i="38" s="1"/>
  <c r="Y11" i="38" l="1"/>
  <c r="O11" i="38"/>
  <c r="O12" i="38" s="1"/>
  <c r="T11" i="38"/>
  <c r="T12" i="38" s="1"/>
  <c r="N11" i="38"/>
  <c r="N12" i="38" s="1"/>
  <c r="M11" i="38"/>
  <c r="M12" i="38" s="1"/>
  <c r="Z11" i="38"/>
  <c r="Z12" i="38" s="1"/>
  <c r="AA11" i="38"/>
  <c r="D12" i="16" s="1"/>
  <c r="U11" i="38"/>
  <c r="U12" i="38" s="1"/>
  <c r="W11" i="38"/>
  <c r="W12" i="38" s="1"/>
  <c r="L11" i="38"/>
  <c r="C12" i="16" s="1"/>
  <c r="R11" i="38"/>
  <c r="R12" i="38" s="1"/>
  <c r="K24" i="38"/>
  <c r="K23" i="38" s="1"/>
  <c r="S36" i="38"/>
  <c r="S35" i="38" s="1"/>
  <c r="S24" i="38"/>
  <c r="S23" i="38" s="1"/>
  <c r="G24" i="38"/>
  <c r="G23" i="38" s="1"/>
  <c r="J24" i="38"/>
  <c r="J23" i="38" s="1"/>
  <c r="Q36" i="38"/>
  <c r="Q35" i="38" s="1"/>
  <c r="V36" i="38"/>
  <c r="V35" i="38" s="1"/>
  <c r="Q24" i="38"/>
  <c r="Q23" i="38" s="1"/>
  <c r="K36" i="38"/>
  <c r="K35" i="38" s="1"/>
  <c r="V24" i="38"/>
  <c r="V23" i="38" s="1"/>
  <c r="X24" i="38"/>
  <c r="X23" i="38" s="1"/>
  <c r="I36" i="38"/>
  <c r="I35" i="38" s="1"/>
  <c r="J36" i="38"/>
  <c r="J35" i="38" s="1"/>
  <c r="I24" i="38"/>
  <c r="I23" i="38" s="1"/>
  <c r="G35" i="38"/>
  <c r="AA33" i="38"/>
  <c r="Z33" i="38"/>
  <c r="T33" i="38"/>
  <c r="AA21" i="38"/>
  <c r="H36" i="38"/>
  <c r="H35" i="38" s="1"/>
  <c r="P36" i="38"/>
  <c r="P35" i="38" s="1"/>
  <c r="N33" i="38"/>
  <c r="N31" i="38" s="1"/>
  <c r="N21" i="44" s="1"/>
  <c r="N21" i="38"/>
  <c r="N19" i="38" s="1"/>
  <c r="O33" i="38"/>
  <c r="O31" i="38" s="1"/>
  <c r="O21" i="44" s="1"/>
  <c r="O21" i="38"/>
  <c r="O19" i="38" s="1"/>
  <c r="H24" i="38"/>
  <c r="H23" i="38" s="1"/>
  <c r="P24" i="38"/>
  <c r="P23" i="38" s="1"/>
  <c r="R21" i="38"/>
  <c r="X36" i="38"/>
  <c r="X35" i="38" s="1"/>
  <c r="R33" i="38"/>
  <c r="W21" i="38"/>
  <c r="Y21" i="38"/>
  <c r="Y12" i="38"/>
  <c r="M21" i="38"/>
  <c r="M19" i="38" s="1"/>
  <c r="M33" i="38"/>
  <c r="M31" i="38" s="1"/>
  <c r="M21" i="44" s="1"/>
  <c r="L21" i="38"/>
  <c r="L19" i="38" s="1"/>
  <c r="T21" i="38"/>
  <c r="W33" i="38"/>
  <c r="L33" i="38"/>
  <c r="L31" i="38" s="1"/>
  <c r="L21" i="44" s="1"/>
  <c r="U21" i="38"/>
  <c r="U19" i="38" s="1"/>
  <c r="Z21" i="38"/>
  <c r="Y33" i="38"/>
  <c r="U33" i="38"/>
  <c r="U31" i="38" s="1"/>
  <c r="U21" i="44" s="1"/>
  <c r="Q11" i="38" l="1"/>
  <c r="Q12" i="38" s="1"/>
  <c r="X11" i="38"/>
  <c r="X12" i="38" s="1"/>
  <c r="S11" i="38"/>
  <c r="S12" i="38" s="1"/>
  <c r="K11" i="38"/>
  <c r="K12" i="38" s="1"/>
  <c r="G11" i="38"/>
  <c r="C41" i="16" s="1"/>
  <c r="I11" i="38"/>
  <c r="I12" i="38" s="1"/>
  <c r="P11" i="38"/>
  <c r="P12" i="38" s="1"/>
  <c r="V11" i="38"/>
  <c r="V12" i="38" s="1"/>
  <c r="H11" i="38"/>
  <c r="H12" i="38" s="1"/>
  <c r="J11" i="38"/>
  <c r="J12" i="38" s="1"/>
  <c r="S21" i="38"/>
  <c r="S33" i="38"/>
  <c r="G33" i="38"/>
  <c r="Q21" i="38"/>
  <c r="K33" i="38"/>
  <c r="K31" i="38" s="1"/>
  <c r="K21" i="44" s="1"/>
  <c r="K21" i="38"/>
  <c r="K19" i="38" s="1"/>
  <c r="V33" i="38"/>
  <c r="V21" i="38"/>
  <c r="J21" i="38"/>
  <c r="J19" i="38" s="1"/>
  <c r="J33" i="38"/>
  <c r="J31" i="38" s="1"/>
  <c r="J21" i="44" s="1"/>
  <c r="Q33" i="38"/>
  <c r="G21" i="38"/>
  <c r="I33" i="38"/>
  <c r="I31" i="38" s="1"/>
  <c r="I21" i="44" s="1"/>
  <c r="I21" i="38"/>
  <c r="AA12" i="38"/>
  <c r="D14" i="16" s="1"/>
  <c r="F41" i="16"/>
  <c r="P33" i="38"/>
  <c r="P31" i="38" s="1"/>
  <c r="P21" i="44" s="1"/>
  <c r="N18" i="44"/>
  <c r="O18" i="44"/>
  <c r="P21" i="38"/>
  <c r="P19" i="38" s="1"/>
  <c r="H21" i="38"/>
  <c r="H33" i="38"/>
  <c r="H31" i="38" s="1"/>
  <c r="H21" i="44" s="1"/>
  <c r="U18" i="44"/>
  <c r="L18" i="44"/>
  <c r="L12" i="38"/>
  <c r="C14" i="16" s="1"/>
  <c r="D41" i="16"/>
  <c r="X21" i="38"/>
  <c r="M18" i="44"/>
  <c r="X33" i="38"/>
  <c r="G31" i="38" l="1"/>
  <c r="G21" i="44" s="1"/>
  <c r="G19" i="38"/>
  <c r="G18" i="44" s="1"/>
  <c r="I19" i="38"/>
  <c r="I18" i="44" s="1"/>
  <c r="H19" i="38"/>
  <c r="H18" i="44" s="1"/>
  <c r="E41" i="16"/>
  <c r="K18" i="44"/>
  <c r="J18" i="44"/>
  <c r="G12" i="38"/>
  <c r="P18" i="44"/>
  <c r="C114" i="16" l="1"/>
  <c r="C110" i="16" s="1"/>
  <c r="C119" i="38" l="1"/>
  <c r="D119" i="38" s="1"/>
  <c r="E119" i="38" s="1"/>
  <c r="F119" i="38" s="1"/>
  <c r="G119" i="38" s="1"/>
  <c r="H119" i="38" s="1"/>
  <c r="I119" i="38" s="1"/>
  <c r="J119" i="38" s="1"/>
  <c r="K119" i="38" s="1"/>
  <c r="L119" i="38" s="1"/>
  <c r="M119" i="38" s="1"/>
  <c r="N119" i="38" s="1"/>
  <c r="O119" i="38" s="1"/>
  <c r="P119" i="38" s="1"/>
  <c r="Q119" i="38" s="1"/>
  <c r="R119" i="38" s="1"/>
  <c r="S119" i="38" s="1"/>
  <c r="T119" i="38" s="1"/>
  <c r="U119" i="38" s="1"/>
  <c r="V119" i="38" s="1"/>
  <c r="W119" i="38" s="1"/>
  <c r="X119" i="38" s="1"/>
  <c r="Y119" i="38" s="1"/>
  <c r="Z119" i="38" s="1"/>
  <c r="AA119" i="38" s="1"/>
  <c r="G118" i="38" l="1"/>
  <c r="G9" i="38" s="1"/>
  <c r="H118" i="38" l="1"/>
  <c r="C92" i="16"/>
  <c r="C90" i="16" s="1"/>
  <c r="G44" i="38" l="1"/>
  <c r="I118" i="38"/>
  <c r="G24" i="44" l="1"/>
  <c r="G51" i="38"/>
  <c r="G13" i="38"/>
  <c r="C39" i="16"/>
  <c r="J118" i="38"/>
  <c r="H9" i="38"/>
  <c r="H44" i="38"/>
  <c r="H24" i="44" l="1"/>
  <c r="H51" i="38"/>
  <c r="G15" i="44"/>
  <c r="G33" i="44"/>
  <c r="H13" i="38"/>
  <c r="I44" i="38"/>
  <c r="I9" i="38"/>
  <c r="K118" i="38"/>
  <c r="I24" i="44" l="1"/>
  <c r="I51" i="38"/>
  <c r="H15" i="44"/>
  <c r="H33" i="44"/>
  <c r="I13" i="38"/>
  <c r="J9" i="38"/>
  <c r="J44" i="38"/>
  <c r="L118" i="38"/>
  <c r="J24" i="44" l="1"/>
  <c r="J51" i="38"/>
  <c r="I15" i="44"/>
  <c r="I33" i="44"/>
  <c r="J13" i="38"/>
  <c r="J15" i="44" s="1"/>
  <c r="D92" i="16"/>
  <c r="D90" i="16" s="1"/>
  <c r="M118" i="38"/>
  <c r="K44" i="38"/>
  <c r="K9" i="38"/>
  <c r="K24" i="44" l="1"/>
  <c r="K51" i="38"/>
  <c r="B33" i="44"/>
  <c r="K13" i="38"/>
  <c r="K15" i="44" s="1"/>
  <c r="N118" i="38"/>
  <c r="L9" i="38"/>
  <c r="C10" i="16" s="1"/>
  <c r="L44" i="38"/>
  <c r="L24" i="44" l="1"/>
  <c r="L51" i="38"/>
  <c r="D39" i="16"/>
  <c r="C33" i="44"/>
  <c r="L13" i="38"/>
  <c r="L15" i="44" s="1"/>
  <c r="M44" i="38"/>
  <c r="M9" i="38"/>
  <c r="O118" i="38"/>
  <c r="M24" i="44" l="1"/>
  <c r="M51" i="38"/>
  <c r="C13" i="16"/>
  <c r="M13" i="38"/>
  <c r="M15" i="44" s="1"/>
  <c r="N44" i="38"/>
  <c r="N9" i="38"/>
  <c r="P118" i="38"/>
  <c r="N24" i="44" l="1"/>
  <c r="N51" i="38"/>
  <c r="N13" i="38"/>
  <c r="N15" i="44" s="1"/>
  <c r="Q118" i="38"/>
  <c r="O9" i="38"/>
  <c r="O44" i="38"/>
  <c r="O24" i="44" l="1"/>
  <c r="O51" i="38"/>
  <c r="O13" i="38"/>
  <c r="O15" i="44" s="1"/>
  <c r="P44" i="38"/>
  <c r="P9" i="38"/>
  <c r="E92" i="16"/>
  <c r="E90" i="16" s="1"/>
  <c r="R118" i="38"/>
  <c r="P24" i="44" l="1"/>
  <c r="P51" i="38"/>
  <c r="P13" i="38"/>
  <c r="P15" i="44" s="1"/>
  <c r="S118" i="38"/>
  <c r="Q9" i="38"/>
  <c r="E39" i="16" s="1"/>
  <c r="Q44" i="38"/>
  <c r="Q24" i="44" l="1"/>
  <c r="T118" i="38"/>
  <c r="R44" i="38"/>
  <c r="R9" i="38"/>
  <c r="R24" i="44" l="1"/>
  <c r="S9" i="38"/>
  <c r="S44" i="38"/>
  <c r="U118" i="38"/>
  <c r="S24" i="44" l="1"/>
  <c r="V118" i="38"/>
  <c r="T44" i="38"/>
  <c r="T9" i="38"/>
  <c r="T24" i="44" l="1"/>
  <c r="U9" i="38"/>
  <c r="U44" i="38"/>
  <c r="W118" i="38"/>
  <c r="U24" i="44" l="1"/>
  <c r="U51" i="38"/>
  <c r="U13" i="38"/>
  <c r="U15" i="44" s="1"/>
  <c r="V44" i="38"/>
  <c r="V9" i="38"/>
  <c r="X118" i="38"/>
  <c r="V24" i="44" l="1"/>
  <c r="W9" i="38"/>
  <c r="W44" i="38"/>
  <c r="Y118" i="38"/>
  <c r="W24" i="44" l="1"/>
  <c r="X44" i="38"/>
  <c r="X9" i="38"/>
  <c r="Z118" i="38"/>
  <c r="X24" i="44" l="1"/>
  <c r="Y9" i="38"/>
  <c r="Y44" i="38"/>
  <c r="AA118" i="38"/>
  <c r="Y24" i="44" l="1"/>
  <c r="Z9" i="38"/>
  <c r="Z44" i="38"/>
  <c r="F92" i="16"/>
  <c r="F90" i="16" s="1"/>
  <c r="Z24" i="44" l="1"/>
  <c r="AA44" i="38"/>
  <c r="AA9" i="38"/>
  <c r="D10" i="16" s="1"/>
  <c r="AA24" i="44" l="1"/>
  <c r="F39" i="16"/>
  <c r="B24" i="44" l="1"/>
  <c r="AC44" i="38" l="1"/>
  <c r="C24" i="44"/>
  <c r="AE44" i="38" l="1"/>
  <c r="C26" i="16"/>
  <c r="B36" i="44" l="1"/>
  <c r="C36" i="44" l="1"/>
  <c r="Z129" i="38"/>
  <c r="Z22" i="38" s="1"/>
  <c r="V138" i="38"/>
  <c r="Q129" i="38"/>
  <c r="E102" i="16" s="1"/>
  <c r="W138" i="38" l="1"/>
  <c r="V137" i="38"/>
  <c r="V139" i="38" s="1"/>
  <c r="Z19" i="38"/>
  <c r="Z18" i="44" s="1"/>
  <c r="T129" i="38"/>
  <c r="S129" i="38"/>
  <c r="Z128" i="38"/>
  <c r="Z127" i="38" s="1"/>
  <c r="R129" i="38"/>
  <c r="Q22" i="38"/>
  <c r="Q128" i="38"/>
  <c r="Q127" i="38" s="1"/>
  <c r="X138" i="38" l="1"/>
  <c r="W137" i="38"/>
  <c r="V129" i="38"/>
  <c r="V22" i="38" s="1"/>
  <c r="Q19" i="38"/>
  <c r="Q18" i="44" s="1"/>
  <c r="Z130" i="38"/>
  <c r="Z125" i="38" s="1"/>
  <c r="Q130" i="38"/>
  <c r="E103" i="16" s="1"/>
  <c r="E101" i="16"/>
  <c r="S128" i="38"/>
  <c r="S127" i="38" s="1"/>
  <c r="S22" i="38"/>
  <c r="R22" i="38"/>
  <c r="R128" i="38"/>
  <c r="R127" i="38" s="1"/>
  <c r="T22" i="38"/>
  <c r="T128" i="38"/>
  <c r="T127" i="38" s="1"/>
  <c r="V128" i="38" l="1"/>
  <c r="V127" i="38" s="1"/>
  <c r="V130" i="38" s="1"/>
  <c r="W139" i="38"/>
  <c r="W129" i="38" s="1"/>
  <c r="Y138" i="38"/>
  <c r="X137" i="38"/>
  <c r="V19" i="38"/>
  <c r="V18" i="44" s="1"/>
  <c r="S19" i="38"/>
  <c r="S18" i="44" s="1"/>
  <c r="R19" i="38"/>
  <c r="R18" i="44" s="1"/>
  <c r="T19" i="38"/>
  <c r="T18" i="44" s="1"/>
  <c r="E99" i="16"/>
  <c r="T130" i="38"/>
  <c r="T125" i="38" s="1"/>
  <c r="Z34" i="38"/>
  <c r="Z10" i="38"/>
  <c r="S130" i="38"/>
  <c r="S125" i="38" s="1"/>
  <c r="R130" i="38"/>
  <c r="R125" i="38" s="1"/>
  <c r="Q125" i="38"/>
  <c r="V125" i="38" l="1"/>
  <c r="V34" i="38" s="1"/>
  <c r="X139" i="38"/>
  <c r="X129" i="38" s="1"/>
  <c r="Y137" i="38"/>
  <c r="AA138" i="38"/>
  <c r="W128" i="38"/>
  <c r="W127" i="38" s="1"/>
  <c r="W130" i="38" s="1"/>
  <c r="W125" i="38" s="1"/>
  <c r="W10" i="38" s="1"/>
  <c r="W22" i="38"/>
  <c r="Z31" i="38"/>
  <c r="Z21" i="44" s="1"/>
  <c r="R10" i="38"/>
  <c r="R34" i="38"/>
  <c r="S10" i="38"/>
  <c r="S34" i="38"/>
  <c r="T10" i="38"/>
  <c r="T34" i="38"/>
  <c r="Z126" i="38"/>
  <c r="Z13" i="38"/>
  <c r="Z15" i="44" s="1"/>
  <c r="V10" i="38"/>
  <c r="Q10" i="38"/>
  <c r="Q34" i="38"/>
  <c r="W34" i="38" l="1"/>
  <c r="W31" i="38" s="1"/>
  <c r="W21" i="44" s="1"/>
  <c r="Z51" i="38"/>
  <c r="AA137" i="38"/>
  <c r="AA139" i="38" s="1"/>
  <c r="W19" i="38"/>
  <c r="W18" i="44" s="1"/>
  <c r="X128" i="38"/>
  <c r="X127" i="38" s="1"/>
  <c r="X22" i="38"/>
  <c r="Y139" i="38"/>
  <c r="Y129" i="38" s="1"/>
  <c r="V31" i="38"/>
  <c r="V51" i="38" s="1"/>
  <c r="Q31" i="38"/>
  <c r="Q21" i="44" s="1"/>
  <c r="T31" i="38"/>
  <c r="T51" i="38" s="1"/>
  <c r="R31" i="38"/>
  <c r="R51" i="38" s="1"/>
  <c r="S31" i="38"/>
  <c r="S51" i="38" s="1"/>
  <c r="V126" i="38"/>
  <c r="V13" i="38"/>
  <c r="V15" i="44" s="1"/>
  <c r="T126" i="38"/>
  <c r="T13" i="38"/>
  <c r="T15" i="44" s="1"/>
  <c r="S126" i="38"/>
  <c r="S13" i="38"/>
  <c r="S15" i="44" s="1"/>
  <c r="W13" i="38"/>
  <c r="W15" i="44" s="1"/>
  <c r="W126" i="38"/>
  <c r="Q13" i="38"/>
  <c r="Q15" i="44" s="1"/>
  <c r="E40" i="16"/>
  <c r="Q126" i="38"/>
  <c r="E100" i="16" s="1"/>
  <c r="V21" i="44"/>
  <c r="R126" i="38"/>
  <c r="R13" i="38"/>
  <c r="R15" i="44" s="1"/>
  <c r="Y22" i="38" l="1"/>
  <c r="Y128" i="38"/>
  <c r="Y127" i="38" s="1"/>
  <c r="Y130" i="38" s="1"/>
  <c r="Y125" i="38" s="1"/>
  <c r="X19" i="38"/>
  <c r="X18" i="44" s="1"/>
  <c r="X130" i="38"/>
  <c r="X125" i="38" s="1"/>
  <c r="AA129" i="38"/>
  <c r="T21" i="44"/>
  <c r="W51" i="38"/>
  <c r="Q51" i="38"/>
  <c r="S21" i="44"/>
  <c r="R21" i="44"/>
  <c r="AA22" i="38" l="1"/>
  <c r="F102" i="16"/>
  <c r="AA128" i="38"/>
  <c r="AA127" i="38" s="1"/>
  <c r="X34" i="38"/>
  <c r="X10" i="38"/>
  <c r="Y10" i="38"/>
  <c r="Y34" i="38"/>
  <c r="Y19" i="38"/>
  <c r="Y18" i="44" s="1"/>
  <c r="X31" i="38" l="1"/>
  <c r="Y31" i="38"/>
  <c r="F101" i="16"/>
  <c r="AA130" i="38"/>
  <c r="F103" i="16" s="1"/>
  <c r="Y126" i="38"/>
  <c r="Y13" i="38"/>
  <c r="Y15" i="44" s="1"/>
  <c r="X13" i="38"/>
  <c r="X15" i="44" s="1"/>
  <c r="X126" i="38"/>
  <c r="AA19" i="38"/>
  <c r="AA18" i="44" s="1"/>
  <c r="B18" i="44" s="1"/>
  <c r="AA125" i="38" l="1"/>
  <c r="AA10" i="38" s="1"/>
  <c r="D11" i="16" s="1"/>
  <c r="AC19" i="38"/>
  <c r="C18" i="44"/>
  <c r="Y21" i="44"/>
  <c r="Y51" i="38"/>
  <c r="F99" i="16"/>
  <c r="X21" i="44"/>
  <c r="X51" i="38"/>
  <c r="AA34" i="38" l="1"/>
  <c r="AA31" i="38" s="1"/>
  <c r="AE19" i="38"/>
  <c r="AA126" i="38"/>
  <c r="F100" i="16" s="1"/>
  <c r="F40" i="16"/>
  <c r="AA13" i="38"/>
  <c r="D13" i="16" s="1"/>
  <c r="C24" i="16"/>
  <c r="AA15" i="44" l="1"/>
  <c r="B15" i="44" s="1"/>
  <c r="C15" i="44" s="1"/>
  <c r="AA21" i="44"/>
  <c r="B21" i="44" s="1"/>
  <c r="AA51" i="38"/>
  <c r="C21" i="44" l="1"/>
  <c r="AC31" i="38"/>
  <c r="AE31" i="38" l="1"/>
  <c r="AE51" i="38" s="1"/>
  <c r="AF46" i="38" s="1"/>
  <c r="C25" i="16"/>
  <c r="AC51" i="38"/>
  <c r="AF19" i="38" l="1"/>
  <c r="AF31" i="38"/>
  <c r="AF49" i="38"/>
  <c r="AF44" i="38"/>
  <c r="AD31" i="38"/>
  <c r="AD44" i="38"/>
  <c r="AD46" i="38"/>
  <c r="C29" i="16"/>
  <c r="AD19" i="38"/>
  <c r="AD49" i="38"/>
  <c r="AF51" i="38" l="1"/>
  <c r="AD51" i="38"/>
</calcChain>
</file>

<file path=xl/sharedStrings.xml><?xml version="1.0" encoding="utf-8"?>
<sst xmlns="http://schemas.openxmlformats.org/spreadsheetml/2006/main" count="3186" uniqueCount="1106">
  <si>
    <t>early 2000s</t>
  </si>
  <si>
    <t>2007-08</t>
  </si>
  <si>
    <t>$</t>
  </si>
  <si>
    <t>Separations</t>
  </si>
  <si>
    <t>proportion</t>
  </si>
  <si>
    <t>average</t>
  </si>
  <si>
    <t>days</t>
  </si>
  <si>
    <t>%</t>
  </si>
  <si>
    <t>2014-15</t>
  </si>
  <si>
    <t>source: AIHW Admitted patient care 2014-15, Australian hospital statistics, 15Mar2016 edition</t>
  </si>
  <si>
    <t>Persons</t>
  </si>
  <si>
    <t>Total</t>
  </si>
  <si>
    <t>Hospital and community care</t>
  </si>
  <si>
    <t>Index Numbers ;  All groups CPI ;  Australia ; Quarterly</t>
  </si>
  <si>
    <t>2007/08</t>
  </si>
  <si>
    <t>$m</t>
  </si>
  <si>
    <t>2012/13</t>
  </si>
  <si>
    <t>2010/11</t>
  </si>
  <si>
    <t>2016$</t>
  </si>
  <si>
    <t>2005/06</t>
  </si>
  <si>
    <t>Per cent</t>
  </si>
  <si>
    <t>Excellent</t>
  </si>
  <si>
    <t>Good</t>
  </si>
  <si>
    <t>Fair</t>
  </si>
  <si>
    <t>Poor</t>
  </si>
  <si>
    <t>Age group (years)</t>
  </si>
  <si>
    <t>15–24</t>
  </si>
  <si>
    <t>25–34</t>
  </si>
  <si>
    <t>35–44</t>
  </si>
  <si>
    <t>45–54</t>
  </si>
  <si>
    <t>55–64</t>
  </si>
  <si>
    <t>65–74</t>
  </si>
  <si>
    <t>75 years 
and over</t>
  </si>
  <si>
    <t>75–84</t>
  </si>
  <si>
    <t>85 years
and over</t>
  </si>
  <si>
    <t>Total 15 years 
and over</t>
  </si>
  <si>
    <t>ESTIMATE ('000)</t>
  </si>
  <si>
    <t>Very good</t>
  </si>
  <si>
    <t>Excellent/Very good</t>
  </si>
  <si>
    <t>Fair/Poor</t>
  </si>
  <si>
    <t>Original</t>
  </si>
  <si>
    <t>Average length of stay</t>
  </si>
  <si>
    <t>HealthPathways</t>
  </si>
  <si>
    <t>Map of Medicine</t>
  </si>
  <si>
    <t>sources:</t>
  </si>
  <si>
    <t>http://www.healthpathwayscommunity.org/</t>
  </si>
  <si>
    <t>http://www.semphn.org.au/resources/pathways.html</t>
  </si>
  <si>
    <t>na</t>
  </si>
  <si>
    <t>source: NHPA 2015, PPH data for 2013-14</t>
  </si>
  <si>
    <t>bed days</t>
  </si>
  <si>
    <t>mil</t>
  </si>
  <si>
    <t>PPH bed days in 2013-14</t>
  </si>
  <si>
    <t>Capital</t>
  </si>
  <si>
    <t>$ per client</t>
  </si>
  <si>
    <t>Cost of (avoided) hospitalisation</t>
  </si>
  <si>
    <t>'000</t>
  </si>
  <si>
    <t>Research</t>
  </si>
  <si>
    <t>Hospitals</t>
  </si>
  <si>
    <t>Area of expenditure</t>
  </si>
  <si>
    <t>Dental</t>
  </si>
  <si>
    <t>Other</t>
  </si>
  <si>
    <t>Administration</t>
  </si>
  <si>
    <t>Public hospital</t>
  </si>
  <si>
    <t>Private hospital</t>
  </si>
  <si>
    <t>Primary health care</t>
  </si>
  <si>
    <t>Other practioners</t>
  </si>
  <si>
    <t>Community health and other</t>
  </si>
  <si>
    <t>Public health</t>
  </si>
  <si>
    <t>Benefit-paid pharmaceuticals</t>
  </si>
  <si>
    <t>All other medications</t>
  </si>
  <si>
    <t>Referred medical services</t>
  </si>
  <si>
    <t>Other services</t>
  </si>
  <si>
    <t>Patient transport</t>
  </si>
  <si>
    <t>Aids and appliances</t>
  </si>
  <si>
    <t>Total recurrent</t>
  </si>
  <si>
    <t>Medical expenses tax rebate</t>
  </si>
  <si>
    <t>Total health spending</t>
  </si>
  <si>
    <t>Unreferred medical services (mainly GP)</t>
  </si>
  <si>
    <t>2014/15</t>
  </si>
  <si>
    <t>Aus gov rebate (and incentive) payments to PHIs</t>
  </si>
  <si>
    <t>2016-17</t>
  </si>
  <si>
    <t>Benefits paid for hospital cover</t>
  </si>
  <si>
    <t>Benefits paid for ancillary cover</t>
  </si>
  <si>
    <t>Health expenditure dividend</t>
  </si>
  <si>
    <t>Workforce impact on GDP</t>
  </si>
  <si>
    <t>Notes</t>
  </si>
  <si>
    <t>Over 74</t>
  </si>
  <si>
    <t>Between 65 &amp; 75</t>
  </si>
  <si>
    <t>Improvement in health of those in poor or fair health</t>
  </si>
  <si>
    <t>Table</t>
  </si>
  <si>
    <t>People whose health improves</t>
  </si>
  <si>
    <t>Units</t>
  </si>
  <si>
    <t>% GDP gain for 1% improvement in health of those otherwise in poor and fair health. Based on Verikios et al 2015.</t>
  </si>
  <si>
    <t xml:space="preserve">   Effectiveness of implementation by LHN/PHN</t>
  </si>
  <si>
    <t>Unit</t>
  </si>
  <si>
    <t>Developed in Canterbury, New Zealand</t>
  </si>
  <si>
    <t>Adopted by Hunter New England Local Health District and Hunter Medical Local in 2011. By June 2013, 20 per cent of GPs were involved in development together with 197 other clinicians.</t>
  </si>
  <si>
    <t>1 per cent of Local Hospital Networks</t>
  </si>
  <si>
    <t>Adopted by NSW Central Coast Medicare Local and Central Coast Local Health District in 2013. Medicare Local replaced by Hunter New England PHN following 2014 review of Medicare Locals.</t>
  </si>
  <si>
    <t>Adopted by Barwon Health and Western Victoria Medicare Local in 2013. Launched in August 2013. By July 2016, there were 202 localised pathways.</t>
  </si>
  <si>
    <t>Adopted by Western Sydney Local Hospital District and Western Sydney Medicare Local in 2013. There were 325 localised pathways by May 2017.</t>
  </si>
  <si>
    <t>3 per cent of Local Hospital Networks</t>
  </si>
  <si>
    <t>Up to 29 Primary Health Networks have adopted Health Pathways.</t>
  </si>
  <si>
    <t>At least 28 Local Hospital Networks</t>
  </si>
  <si>
    <t>One Primary Health Network has adopted Map of Medicine.</t>
  </si>
  <si>
    <t>23 per cent of Local Hospital Networks</t>
  </si>
  <si>
    <t>Background Table</t>
  </si>
  <si>
    <t>2008–2011</t>
  </si>
  <si>
    <t>Sources:</t>
  </si>
  <si>
    <t>Data reported in study</t>
  </si>
  <si>
    <t>Difference</t>
  </si>
  <si>
    <t>Commission estimate</t>
  </si>
  <si>
    <t>Change</t>
  </si>
  <si>
    <t>P value for difference</t>
  </si>
  <si>
    <t>P value of difference</t>
  </si>
  <si>
    <t>Commission estimates</t>
  </si>
  <si>
    <t>days (assuming no change in national benchmark)</t>
  </si>
  <si>
    <t>hours</t>
  </si>
  <si>
    <t>12 months prior</t>
  </si>
  <si>
    <t>12 months after</t>
  </si>
  <si>
    <t>In control group</t>
  </si>
  <si>
    <t>In intervention group</t>
  </si>
  <si>
    <t>Admission rate (for diabetes)</t>
  </si>
  <si>
    <t>Admissions per person, per cent</t>
  </si>
  <si>
    <r>
      <t>The Diabetes Care Project, 2011‑2014</t>
    </r>
    <r>
      <rPr>
        <b/>
        <i/>
        <sz val="9"/>
        <color theme="1"/>
        <rFont val="Arial"/>
        <family val="2"/>
      </rPr>
      <t xml:space="preserve"> a</t>
    </r>
  </si>
  <si>
    <t>HARP, 2004‑05</t>
  </si>
  <si>
    <t>Mt Druitt HealthOne, 2006–2012</t>
  </si>
  <si>
    <t>GP and allied health</t>
  </si>
  <si>
    <t>Patients with diabetes, particularly those with complex diabetes</t>
  </si>
  <si>
    <t>Patients at high risk of hospitalisation</t>
  </si>
  <si>
    <t>All sectors</t>
  </si>
  <si>
    <t>Patients in need of complex, chronic and aged care</t>
  </si>
  <si>
    <t>Patients admitted to hospital for diabetes related surgery</t>
  </si>
  <si>
    <t>Patients with chronic and complex diabetes in need of acute care</t>
  </si>
  <si>
    <t>Key estimates from Australian integrated care projects</t>
  </si>
  <si>
    <t>GDP</t>
  </si>
  <si>
    <t>Population</t>
  </si>
  <si>
    <t>PPH in 2014-15</t>
  </si>
  <si>
    <r>
      <t>Source</t>
    </r>
    <r>
      <rPr>
        <sz val="9"/>
        <color theme="1"/>
        <rFont val="Arial"/>
        <family val="2"/>
      </rPr>
      <t>: Commission estimates</t>
    </r>
  </si>
  <si>
    <t xml:space="preserve">Table </t>
  </si>
  <si>
    <t>The first 5 per cent to implement are the most effective</t>
  </si>
  <si>
    <t>The next 15 per cent are almost as effective</t>
  </si>
  <si>
    <t>The next 60 per cent are moderately effective</t>
  </si>
  <si>
    <t>Counterfactual health spending: total</t>
  </si>
  <si>
    <t>separations</t>
  </si>
  <si>
    <t>Based on uptake of health pathways (see background table 1.1)</t>
  </si>
  <si>
    <t>assumed zero</t>
  </si>
  <si>
    <t>Younger workforce (15-44 yo)</t>
  </si>
  <si>
    <t>Older workforce (45-64 yo)</t>
  </si>
  <si>
    <t>Improvement would be 45% if all LHNs achieved 45% efficacy.</t>
  </si>
  <si>
    <t>Births ;  Australia ;</t>
  </si>
  <si>
    <t>Deaths ;  Australia ;</t>
  </si>
  <si>
    <t>Natural Increase ;  Australia ;</t>
  </si>
  <si>
    <t>Interstate Arrivals ;  Australia ;</t>
  </si>
  <si>
    <t>Interstate Departures ;  Australia ;</t>
  </si>
  <si>
    <t>Overseas Arrivals ;  Australia ;</t>
  </si>
  <si>
    <t>Overseas Departures ;  Australia ;</t>
  </si>
  <si>
    <t>Net Permanent and Long Term Movement ;  Australia ;</t>
  </si>
  <si>
    <t>Migration Adjustment ;  Australia ;</t>
  </si>
  <si>
    <t>Net Overseas Migration ;  Australia ;</t>
  </si>
  <si>
    <t>Estimated Resident Population (ERP) ;  Australia ;</t>
  </si>
  <si>
    <t>ERP Change Over Previous Year ;  Australia ;</t>
  </si>
  <si>
    <t>Percentage ERP Change Over Previous Year ;  Australia ;</t>
  </si>
  <si>
    <t>000</t>
  </si>
  <si>
    <t>Percent</t>
  </si>
  <si>
    <t>Series Type</t>
  </si>
  <si>
    <t>Data Type</t>
  </si>
  <si>
    <t>FLOW</t>
  </si>
  <si>
    <t>STOCK_CLOSE</t>
  </si>
  <si>
    <t>PERCENT</t>
  </si>
  <si>
    <t>Frequency</t>
  </si>
  <si>
    <t>Quarter</t>
  </si>
  <si>
    <t>Collection Month</t>
  </si>
  <si>
    <t>Series Start</t>
  </si>
  <si>
    <t>Series End</t>
  </si>
  <si>
    <t>No. Obs</t>
  </si>
  <si>
    <t>Series ID</t>
  </si>
  <si>
    <t>A2133244X</t>
  </si>
  <si>
    <t>A2133245A</t>
  </si>
  <si>
    <t>A2133252X</t>
  </si>
  <si>
    <t>A2133246C</t>
  </si>
  <si>
    <t>A2133247F</t>
  </si>
  <si>
    <t>A2133248J</t>
  </si>
  <si>
    <t>A2133249K</t>
  </si>
  <si>
    <t>A2133253A</t>
  </si>
  <si>
    <t>A2133250V</t>
  </si>
  <si>
    <t>A2133254C</t>
  </si>
  <si>
    <t>A2133251W</t>
  </si>
  <si>
    <t>A2133255F</t>
  </si>
  <si>
    <t>A2133256J</t>
  </si>
  <si>
    <t>TABLE 1. Population Change, Summary - Australia ('000)</t>
  </si>
  <si>
    <t>Contribution to total health expenditure dividend</t>
  </si>
  <si>
    <t>Occupancy rate</t>
  </si>
  <si>
    <t>Reduction in beds required</t>
  </si>
  <si>
    <t xml:space="preserve">  Potentially preventable hospitalisations</t>
  </si>
  <si>
    <t>ALOS (counterfactual)</t>
  </si>
  <si>
    <t>Hospital capital spending dividend</t>
  </si>
  <si>
    <t xml:space="preserve">  as a share of total health spending</t>
  </si>
  <si>
    <t xml:space="preserve">  as a share of GDP</t>
  </si>
  <si>
    <t>Undertaken by:</t>
  </si>
  <si>
    <t>Assumptions</t>
  </si>
  <si>
    <t>Key:</t>
  </si>
  <si>
    <t>Discount rate</t>
  </si>
  <si>
    <t>Cells for data entry.</t>
  </si>
  <si>
    <t>First year</t>
  </si>
  <si>
    <t>$ million</t>
  </si>
  <si>
    <t>Summary</t>
  </si>
  <si>
    <t>Year</t>
  </si>
  <si>
    <t>NPV</t>
  </si>
  <si>
    <t>PMT</t>
  </si>
  <si>
    <t>Notes:</t>
  </si>
  <si>
    <t>Age cohort share (for weighting)</t>
  </si>
  <si>
    <t>Average available beds</t>
  </si>
  <si>
    <t>Table 2.7: Average available beds and beds per 1,000 population, public and private hospitals, 2010–11 to 2014–15</t>
  </si>
  <si>
    <t>Change (%)</t>
  </si>
  <si>
    <t>2010–11</t>
  </si>
  <si>
    <t>2011–12</t>
  </si>
  <si>
    <t>2012–13</t>
  </si>
  <si>
    <t>2013–14</t>
  </si>
  <si>
    <t>2014–15</t>
  </si>
  <si>
    <t>Average since 2010–11</t>
  </si>
  <si>
    <t>Since 2013–14</t>
  </si>
  <si>
    <t>Public hospitals</t>
  </si>
  <si>
    <t xml:space="preserve">  Public acute hospitals</t>
  </si>
  <si>
    <t xml:space="preserve">     Same-day beds/chairs</t>
  </si>
  <si>
    <t xml:space="preserve">     Overnight beds</t>
  </si>
  <si>
    <t xml:space="preserve">  Public psychiatric hospitals</t>
  </si>
  <si>
    <t>–1.8</t>
  </si>
  <si>
    <r>
      <t>Beds per 1,000 population</t>
    </r>
    <r>
      <rPr>
        <vertAlign val="superscript"/>
        <sz val="8"/>
        <color indexed="8"/>
        <rFont val="Arial"/>
        <family val="2"/>
      </rPr>
      <t>(a)</t>
    </r>
  </si>
  <si>
    <t>–0.5</t>
  </si>
  <si>
    <t>Private hospitals</t>
  </si>
  <si>
    <t xml:space="preserve">  Private free-standing day hospital facilities</t>
  </si>
  <si>
    <t xml:space="preserve">  Other private hospitals</t>
  </si>
  <si>
    <t>All hospitals</t>
  </si>
  <si>
    <r>
      <t>Beds per 1,000 population</t>
    </r>
    <r>
      <rPr>
        <vertAlign val="superscript"/>
        <sz val="8"/>
        <color indexed="8"/>
        <rFont val="Arial"/>
        <family val="2"/>
      </rPr>
      <t>(a)</t>
    </r>
    <r>
      <rPr>
        <b/>
        <sz val="8"/>
        <color indexed="8"/>
        <rFont val="Arial"/>
        <family val="2"/>
      </rPr>
      <t xml:space="preserve"> </t>
    </r>
  </si>
  <si>
    <r>
      <t>(a)</t>
    </r>
    <r>
      <rPr>
        <sz val="7"/>
        <color indexed="8"/>
        <rFont val="Times New Roman"/>
        <family val="1"/>
      </rPr>
      <t xml:space="preserve">      </t>
    </r>
    <r>
      <rPr>
        <sz val="7"/>
        <color indexed="8"/>
        <rFont val="Arial"/>
        <family val="2"/>
      </rPr>
      <t>Rates of available beds per 1,000 population have been presented rounded to 1 decimal place. Average available beds per 1,000 population is reported as a crude rate based on the estimated resident population as at 30 June of the end of the reporting period.</t>
    </r>
  </si>
  <si>
    <r>
      <t>Note:</t>
    </r>
    <r>
      <rPr>
        <sz val="7"/>
        <color indexed="8"/>
        <rFont val="Arial"/>
        <family val="2"/>
      </rPr>
      <t xml:space="preserve"> See boxes 1.2 and 2.2 for notes on data limitations.</t>
    </r>
  </si>
  <si>
    <r>
      <t>Sources:</t>
    </r>
    <r>
      <rPr>
        <sz val="7"/>
        <color indexed="8"/>
        <rFont val="Arial"/>
        <family val="2"/>
      </rPr>
      <t xml:space="preserve"> Public hospital information was sourced from the NPHED and private hospital information was sourced from </t>
    </r>
    <r>
      <rPr>
        <i/>
        <sz val="7"/>
        <color indexed="8"/>
        <rFont val="Arial"/>
        <family val="2"/>
      </rPr>
      <t>Private hospitals Australia</t>
    </r>
    <r>
      <rPr>
        <sz val="7"/>
        <color indexed="8"/>
        <rFont val="Arial"/>
        <family val="2"/>
      </rPr>
      <t xml:space="preserve"> reports (ABS 2012, 2013, 2014, 2015, 2016).</t>
    </r>
  </si>
  <si>
    <r>
      <t>Table D2: Separations</t>
    </r>
    <r>
      <rPr>
        <vertAlign val="superscript"/>
        <sz val="10"/>
        <color indexed="8"/>
        <rFont val="Book Antiqua"/>
        <family val="1"/>
      </rPr>
      <t>(a)</t>
    </r>
    <r>
      <rPr>
        <b/>
        <sz val="10"/>
        <color indexed="8"/>
        <rFont val="Book Antiqua"/>
        <family val="1"/>
      </rPr>
      <t xml:space="preserve"> and patient days by Service Related Group based on AR-DRG version 7.0, public and private hospitals, 2014–15</t>
    </r>
  </si>
  <si>
    <t>Public hospitals</t>
  </si>
  <si>
    <t>Service Related Group</t>
  </si>
  <si>
    <t>Patient days</t>
  </si>
  <si>
    <t>11 Cardiology</t>
  </si>
  <si>
    <t>12 Interventional cardiology</t>
  </si>
  <si>
    <t>13 Dermatology</t>
  </si>
  <si>
    <t>14 Endocrinology</t>
  </si>
  <si>
    <t>15 Gastroenterology</t>
  </si>
  <si>
    <t>16 Diagnostic gastrointestinal</t>
  </si>
  <si>
    <t>17 Haematology</t>
  </si>
  <si>
    <t>18 Immunology and infections</t>
  </si>
  <si>
    <t>20 Chemotherapy</t>
  </si>
  <si>
    <t>21 Neurology</t>
  </si>
  <si>
    <t>22 Renal medicine</t>
  </si>
  <si>
    <t>23 Renal dialysis</t>
  </si>
  <si>
    <t>24 Respiratory medicine</t>
  </si>
  <si>
    <t>25 Rheumatology</t>
  </si>
  <si>
    <t>26 Pain management</t>
  </si>
  <si>
    <t>27 General medicine</t>
  </si>
  <si>
    <t>41 Breast surgery</t>
  </si>
  <si>
    <t>42 Cardiothoracic surgery</t>
  </si>
  <si>
    <t>43 Colorectal surgery</t>
  </si>
  <si>
    <t>44 Upper gastrointestinal surgery</t>
  </si>
  <si>
    <t>46 Neurosurgery</t>
  </si>
  <si>
    <t>47 Dentistry</t>
  </si>
  <si>
    <t>48 Ear, nose and throat; head and neck</t>
  </si>
  <si>
    <t>49 Orthopaedics</t>
  </si>
  <si>
    <t>50 Ophthalmology</t>
  </si>
  <si>
    <t>51 Plastic and reconstructive surgery</t>
  </si>
  <si>
    <t>52 Urology</t>
  </si>
  <si>
    <t>53 Vascular surgery</t>
  </si>
  <si>
    <t>54 General surgery</t>
  </si>
  <si>
    <t>61 Transplantation</t>
  </si>
  <si>
    <t>62 Extensive burns</t>
  </si>
  <si>
    <t>63 Tracheostomy and ventilation</t>
  </si>
  <si>
    <t>71 Gynaecology</t>
  </si>
  <si>
    <t>72 Obstetrics</t>
  </si>
  <si>
    <r>
      <t>73 Qualified neonate</t>
    </r>
    <r>
      <rPr>
        <vertAlign val="superscript"/>
        <sz val="8"/>
        <color indexed="8"/>
        <rFont val="Arial"/>
        <family val="2"/>
      </rPr>
      <t>(b)</t>
    </r>
  </si>
  <si>
    <r>
      <t>74 Unqualified neonate</t>
    </r>
    <r>
      <rPr>
        <vertAlign val="superscript"/>
        <sz val="8"/>
        <color indexed="8"/>
        <rFont val="Arial"/>
        <family val="2"/>
      </rPr>
      <t>(c)</t>
    </r>
  </si>
  <si>
    <t>75 Perinatology</t>
  </si>
  <si>
    <t>81 Drug and alcohol</t>
  </si>
  <si>
    <t>82 Psychiatry/mental health - acute</t>
  </si>
  <si>
    <t>83 Psychiatry/mental health - sub-acute</t>
  </si>
  <si>
    <t>84 Rehabilitation</t>
  </si>
  <si>
    <t>85 Psychogeriatric care</t>
  </si>
  <si>
    <t>86 Palliative care</t>
  </si>
  <si>
    <t>87 Maintenance</t>
  </si>
  <si>
    <t>99 Unallocated</t>
  </si>
  <si>
    <r>
      <t>(a)</t>
    </r>
    <r>
      <rPr>
        <sz val="7"/>
        <color indexed="8"/>
        <rFont val="Times New Roman"/>
        <family val="1"/>
      </rPr>
      <t xml:space="preserve">     </t>
    </r>
    <r>
      <rPr>
        <sz val="7"/>
        <color indexed="8"/>
        <rFont val="Arial"/>
        <family val="2"/>
      </rPr>
      <t xml:space="preserve">Separations exclude records for </t>
    </r>
    <r>
      <rPr>
        <i/>
        <sz val="7"/>
        <color indexed="8"/>
        <rFont val="Arial"/>
        <family val="2"/>
      </rPr>
      <t>Hospital boarders</t>
    </r>
    <r>
      <rPr>
        <sz val="7"/>
        <color indexed="8"/>
        <rFont val="Arial"/>
        <family val="2"/>
      </rPr>
      <t xml:space="preserve"> and </t>
    </r>
    <r>
      <rPr>
        <i/>
        <sz val="7"/>
        <color indexed="8"/>
        <rFont val="Arial"/>
        <family val="2"/>
      </rPr>
      <t>Posthumous organ procurement</t>
    </r>
    <r>
      <rPr>
        <sz val="7"/>
        <color indexed="8"/>
        <rFont val="Arial"/>
        <family val="2"/>
      </rPr>
      <t>.</t>
    </r>
  </si>
  <si>
    <r>
      <t>(b)</t>
    </r>
    <r>
      <rPr>
        <sz val="7"/>
        <color indexed="8"/>
        <rFont val="Times New Roman"/>
        <family val="1"/>
      </rPr>
      <t xml:space="preserve">     </t>
    </r>
    <r>
      <rPr>
        <sz val="7"/>
        <color indexed="8"/>
        <rFont val="Arial"/>
        <family val="2"/>
      </rPr>
      <t xml:space="preserve">All private hospital </t>
    </r>
    <r>
      <rPr>
        <i/>
        <sz val="7"/>
        <color indexed="8"/>
        <rFont val="Arial"/>
        <family val="2"/>
      </rPr>
      <t>Newborns</t>
    </r>
    <r>
      <rPr>
        <sz val="7"/>
        <color indexed="8"/>
        <rFont val="Arial"/>
        <family val="2"/>
      </rPr>
      <t xml:space="preserve"> with qualified days were assigned to SRG 73 </t>
    </r>
    <r>
      <rPr>
        <i/>
        <sz val="7"/>
        <color indexed="8"/>
        <rFont val="Arial"/>
        <family val="2"/>
      </rPr>
      <t>Qualified</t>
    </r>
    <r>
      <rPr>
        <sz val="7"/>
        <color indexed="8"/>
        <rFont val="Arial"/>
        <family val="2"/>
      </rPr>
      <t xml:space="preserve"> </t>
    </r>
    <r>
      <rPr>
        <i/>
        <sz val="7"/>
        <color indexed="8"/>
        <rFont val="Arial"/>
        <family val="2"/>
      </rPr>
      <t xml:space="preserve">neonate </t>
    </r>
    <r>
      <rPr>
        <sz val="7"/>
        <color indexed="8"/>
        <rFont val="Arial"/>
        <family val="2"/>
      </rPr>
      <t>as information about Neonatal intensive care units was not available for individual private hospitals.</t>
    </r>
  </si>
  <si>
    <r>
      <t>(c)</t>
    </r>
    <r>
      <rPr>
        <sz val="7"/>
        <color indexed="8"/>
        <rFont val="Times New Roman"/>
        <family val="1"/>
      </rPr>
      <t xml:space="preserve">      </t>
    </r>
    <r>
      <rPr>
        <i/>
        <sz val="7"/>
        <color indexed="8"/>
        <rFont val="Arial"/>
        <family val="2"/>
      </rPr>
      <t>Newborns</t>
    </r>
    <r>
      <rPr>
        <sz val="7"/>
        <color indexed="8"/>
        <rFont val="Arial"/>
        <family val="2"/>
      </rPr>
      <t xml:space="preserve"> without qualified days are included, and are allocated to SRG 74 </t>
    </r>
    <r>
      <rPr>
        <i/>
        <sz val="7"/>
        <color indexed="8"/>
        <rFont val="Arial"/>
        <family val="2"/>
      </rPr>
      <t>Unqualified neonate</t>
    </r>
    <r>
      <rPr>
        <sz val="7"/>
        <color indexed="8"/>
        <rFont val="Arial"/>
        <family val="2"/>
      </rPr>
      <t>.</t>
    </r>
  </si>
  <si>
    <r>
      <t>Source:</t>
    </r>
    <r>
      <rPr>
        <sz val="7"/>
        <color indexed="8"/>
        <rFont val="Arial"/>
        <family val="2"/>
      </rPr>
      <t xml:space="preserve"> NHMD.</t>
    </r>
  </si>
  <si>
    <t>Cost of building a new hospital, per bed</t>
  </si>
  <si>
    <t>Cost of redeveloping existing hospital as a share of building new</t>
  </si>
  <si>
    <t>source: http://www.capital.health.vic.gov.au/Project_proposals/Benchmarking/Hospital_capital_planning_module/ (last updated July 2016, last accessed June 2017))</t>
  </si>
  <si>
    <t>ABS Cat. No. 6302.0 - Average weekly earnings, Australia, Nov 2016, Table 3, Average weekly earnings, Australia (Dollars) - Original</t>
  </si>
  <si>
    <t>Australian Bureau of Statistics</t>
  </si>
  <si>
    <t>41530DO001 How Australians Use Their Time, 2006</t>
  </si>
  <si>
    <t>Released at 11:30 am (Canberra time) Thurs 21 Feb 2008</t>
  </si>
  <si>
    <t>Table 1 ALL PERSONS, PRIMARY ACTIVITIES—by sex—1992, 1997, 2006</t>
  </si>
  <si>
    <t>1992</t>
  </si>
  <si>
    <t>1997</t>
  </si>
  <si>
    <t>2006</t>
  </si>
  <si>
    <t>Males</t>
  </si>
  <si>
    <t>Females</t>
  </si>
  <si>
    <t>Concordance of activities</t>
  </si>
  <si>
    <t>Hours and minutes per day</t>
  </si>
  <si>
    <t>Personal care</t>
  </si>
  <si>
    <t>10:18</t>
  </si>
  <si>
    <t>10:26</t>
  </si>
  <si>
    <t>10:22</t>
  </si>
  <si>
    <t>10:58</t>
  </si>
  <si>
    <t>11:11</t>
  </si>
  <si>
    <t>11:05</t>
  </si>
  <si>
    <t>10:48</t>
  </si>
  <si>
    <t>11:06</t>
  </si>
  <si>
    <t>10:57</t>
  </si>
  <si>
    <t>Sleeping</t>
  </si>
  <si>
    <t>8:19</t>
  </si>
  <si>
    <t>8:37</t>
  </si>
  <si>
    <t>8:35</t>
  </si>
  <si>
    <t>8:36</t>
  </si>
  <si>
    <t>8:30</t>
  </si>
  <si>
    <t>8:32</t>
  </si>
  <si>
    <t>8:31</t>
  </si>
  <si>
    <t>Sleeplessness</t>
  </si>
  <si>
    <t>0:00</t>
  </si>
  <si>
    <t>0:01</t>
  </si>
  <si>
    <t>0:02</t>
  </si>
  <si>
    <t>Personal hygiene</t>
  </si>
  <si>
    <t>0:47</t>
  </si>
  <si>
    <t>0:53</t>
  </si>
  <si>
    <t>0:50</t>
  </si>
  <si>
    <t>0:43</t>
  </si>
  <si>
    <t>0:51</t>
  </si>
  <si>
    <t>0:54</t>
  </si>
  <si>
    <t>0:49</t>
  </si>
  <si>
    <t>Health care</t>
  </si>
  <si>
    <t>0:06</t>
  </si>
  <si>
    <t>0:08</t>
  </si>
  <si>
    <t>0:07</t>
  </si>
  <si>
    <t>0:05</t>
  </si>
  <si>
    <t>Eating and drinking</t>
  </si>
  <si>
    <t>1:04</t>
  </si>
  <si>
    <t>1:31</t>
  </si>
  <si>
    <t>1:35</t>
  </si>
  <si>
    <t>1:33</t>
  </si>
  <si>
    <t>1:27</t>
  </si>
  <si>
    <t>1:29</t>
  </si>
  <si>
    <t>Associated travel</t>
  </si>
  <si>
    <t>Employment related</t>
  </si>
  <si>
    <t>4:28</t>
  </si>
  <si>
    <t>2:06</t>
  </si>
  <si>
    <t>3:16</t>
  </si>
  <si>
    <t>4:21</t>
  </si>
  <si>
    <t>2:12</t>
  </si>
  <si>
    <t>4:33</t>
  </si>
  <si>
    <t>2:21</t>
  </si>
  <si>
    <t>3:27</t>
  </si>
  <si>
    <t>Main job</t>
  </si>
  <si>
    <t>3:45</t>
  </si>
  <si>
    <t>1:46</t>
  </si>
  <si>
    <t>2:45</t>
  </si>
  <si>
    <t>3:46</t>
  </si>
  <si>
    <t>1:53</t>
  </si>
  <si>
    <t>2:49</t>
  </si>
  <si>
    <t>3:59</t>
  </si>
  <si>
    <t>2:02</t>
  </si>
  <si>
    <t>2:59</t>
  </si>
  <si>
    <t>Other job</t>
  </si>
  <si>
    <t>0:03</t>
  </si>
  <si>
    <t>Unpaid work in family business or farm</t>
  </si>
  <si>
    <t>Work breaks</t>
  </si>
  <si>
    <t>0:11</t>
  </si>
  <si>
    <t>Job Search</t>
  </si>
  <si>
    <t>0:24</t>
  </si>
  <si>
    <t>0:18</t>
  </si>
  <si>
    <t>0:26</t>
  </si>
  <si>
    <t>0:14</t>
  </si>
  <si>
    <t>0:20</t>
  </si>
  <si>
    <t>0:27</t>
  </si>
  <si>
    <t>0:21</t>
  </si>
  <si>
    <t>0:04</t>
  </si>
  <si>
    <t>Education</t>
  </si>
  <si>
    <t>0:32</t>
  </si>
  <si>
    <t>0:28</t>
  </si>
  <si>
    <t>0:30</t>
  </si>
  <si>
    <t>Attendance at educational courses (excluding job related training)</t>
  </si>
  <si>
    <t>0:15</t>
  </si>
  <si>
    <t>0:12</t>
  </si>
  <si>
    <t>0:13</t>
  </si>
  <si>
    <t>Job related training</t>
  </si>
  <si>
    <t>Homework/study/research</t>
  </si>
  <si>
    <t>0:10</t>
  </si>
  <si>
    <t>0:09</t>
  </si>
  <si>
    <t>Breaks at place of education</t>
  </si>
  <si>
    <t>Domestic activities</t>
  </si>
  <si>
    <t>1:37</t>
  </si>
  <si>
    <t>3:02</t>
  </si>
  <si>
    <t>2:20</t>
  </si>
  <si>
    <t>3:00</t>
  </si>
  <si>
    <t>2:19</t>
  </si>
  <si>
    <t>2:52</t>
  </si>
  <si>
    <t>2:15</t>
  </si>
  <si>
    <t>Total housework</t>
  </si>
  <si>
    <t>0:37</t>
  </si>
  <si>
    <t>2:27</t>
  </si>
  <si>
    <t>0:40</t>
  </si>
  <si>
    <t>1:30</t>
  </si>
  <si>
    <t>2:11</t>
  </si>
  <si>
    <t>Food and drink preparation/cleanup</t>
  </si>
  <si>
    <t>1:11</t>
  </si>
  <si>
    <t>0:48</t>
  </si>
  <si>
    <t>1:09</t>
  </si>
  <si>
    <t>0:29</t>
  </si>
  <si>
    <t>Laundry and clothes care</t>
  </si>
  <si>
    <t>0:34</t>
  </si>
  <si>
    <t>0:19</t>
  </si>
  <si>
    <t>0:33</t>
  </si>
  <si>
    <t>0:17</t>
  </si>
  <si>
    <t>Other housework</t>
  </si>
  <si>
    <t>0:42</t>
  </si>
  <si>
    <t>0:23</t>
  </si>
  <si>
    <t>0:22</t>
  </si>
  <si>
    <t>Total other household work</t>
  </si>
  <si>
    <t>0:31</t>
  </si>
  <si>
    <t>0:36</t>
  </si>
  <si>
    <t>0:45</t>
  </si>
  <si>
    <t>0:35</t>
  </si>
  <si>
    <t>Grounds and animal care</t>
  </si>
  <si>
    <t>0:25</t>
  </si>
  <si>
    <t>Home maintenance</t>
  </si>
  <si>
    <t>Household management</t>
  </si>
  <si>
    <t>Child care</t>
  </si>
  <si>
    <t>0:16</t>
  </si>
  <si>
    <t>0:59</t>
  </si>
  <si>
    <t>0:41</t>
  </si>
  <si>
    <t>Care of children</t>
  </si>
  <si>
    <t>Teaching, helping, reprimanding children</t>
  </si>
  <si>
    <t>Playing, reading, talking with child</t>
  </si>
  <si>
    <t>Minding child</t>
  </si>
  <si>
    <t>Visiting child care establishment/school</t>
  </si>
  <si>
    <t>Purchasing goods and services</t>
  </si>
  <si>
    <t>0:55</t>
  </si>
  <si>
    <t>0:38</t>
  </si>
  <si>
    <t>0:58</t>
  </si>
  <si>
    <t>Purchasing goods</t>
  </si>
  <si>
    <t>Purchasing services</t>
  </si>
  <si>
    <t>Voluntary work and care</t>
  </si>
  <si>
    <t>Support for adults</t>
  </si>
  <si>
    <t>Unpaid voluntary work</t>
  </si>
  <si>
    <t>Social and community interaction</t>
  </si>
  <si>
    <t>1:43</t>
  </si>
  <si>
    <t>2:00</t>
  </si>
  <si>
    <t>1:51</t>
  </si>
  <si>
    <t>Socialising</t>
  </si>
  <si>
    <t>1:10</t>
  </si>
  <si>
    <t>1:24</t>
  </si>
  <si>
    <t>1:17</t>
  </si>
  <si>
    <t>Visiting entertainment and cultural venues</t>
  </si>
  <si>
    <t>Attendance at sports events</t>
  </si>
  <si>
    <t>Religious activities/ritual ceremonies</t>
  </si>
  <si>
    <t>Community participation</t>
  </si>
  <si>
    <t>Negative social activities</t>
  </si>
  <si>
    <t>Recreation and leisure</t>
  </si>
  <si>
    <t>4:12</t>
  </si>
  <si>
    <t>3:53</t>
  </si>
  <si>
    <t>4:02</t>
  </si>
  <si>
    <t>4:43</t>
  </si>
  <si>
    <t>4:14</t>
  </si>
  <si>
    <t>4:29</t>
  </si>
  <si>
    <t>3:57</t>
  </si>
  <si>
    <t>4:13</t>
  </si>
  <si>
    <t>Sport and outdoor activity</t>
  </si>
  <si>
    <t>Games, hobbies, arts, crafts</t>
  </si>
  <si>
    <t>Reading</t>
  </si>
  <si>
    <t>Audio/visual media</t>
  </si>
  <si>
    <t>1:40</t>
  </si>
  <si>
    <t>2:23</t>
  </si>
  <si>
    <t>1:58</t>
  </si>
  <si>
    <t>2:10</t>
  </si>
  <si>
    <t>2:38</t>
  </si>
  <si>
    <t>2:03</t>
  </si>
  <si>
    <t>Attendance at recreational courses</t>
  </si>
  <si>
    <t>Other free time</t>
  </si>
  <si>
    <t>Talking (including phone) or writing/reading own correspondence</t>
  </si>
  <si>
    <t>0:46</t>
  </si>
  <si>
    <t>Undescribed</t>
  </si>
  <si>
    <t>All activities</t>
  </si>
  <si>
    <t>24:00</t>
  </si>
  <si>
    <t>© Commonwealth of Australia 2008</t>
  </si>
  <si>
    <t>Released at 11:30 am (Canberra time) Thurs 19 Jan 2017</t>
  </si>
  <si>
    <t>Adult rate</t>
  </si>
  <si>
    <t>Junior rate</t>
  </si>
  <si>
    <t>Apprentice or trainee rate</t>
  </si>
  <si>
    <t>Disability rate</t>
  </si>
  <si>
    <t>All rates of pay</t>
  </si>
  <si>
    <t>ESTIMATE</t>
  </si>
  <si>
    <t>NUMBER OF EMPLOYEES ('000)</t>
  </si>
  <si>
    <t>Managers</t>
  </si>
  <si>
    <t>Professionals</t>
  </si>
  <si>
    <t>Technicians and trades workers</t>
  </si>
  <si>
    <t>Community and personal service workers</t>
  </si>
  <si>
    <t>Clerical and administrative workers</t>
  </si>
  <si>
    <t>Sales workers</t>
  </si>
  <si>
    <t>Machinery operators and drivers</t>
  </si>
  <si>
    <t>Labourers</t>
  </si>
  <si>
    <t>All occupations</t>
  </si>
  <si>
    <t>AVERAGE WEEKLY TOTAL CASH EARNINGS ($)</t>
  </si>
  <si>
    <t>STANDARD ERROR</t>
  </si>
  <si>
    <t>© Commonwealth of Australia 2017</t>
  </si>
  <si>
    <t>ABS Cat. No. 4153.0 - How Australians use their time, 2006</t>
  </si>
  <si>
    <t>63060DO004_201605 Employee Earnings and Hours, Australia, May 2016</t>
  </si>
  <si>
    <t>Table 5 NON-MANAGERIAL EMPLOYEES, Number of employees, Average weekly total cash earnings, Average weekly total hours paid for, Average hourly total cash earnings–Rate of pay, Occupation</t>
  </si>
  <si>
    <t>AVERAGE WEEKLY TOTAL HOURS PAID FOR (hours)</t>
  </si>
  <si>
    <t>AVERAGE HOURLY TOTAL CASH EARNINGS ($)</t>
  </si>
  <si>
    <t>Lindsay Fairhead</t>
  </si>
  <si>
    <t>Indicative Net Present Value impacts of health sector recommendations</t>
  </si>
  <si>
    <t>Net present value</t>
  </si>
  <si>
    <t>Free up innovators</t>
  </si>
  <si>
    <t>Remove tax rebate on PHI ancillaries</t>
  </si>
  <si>
    <t>Empowering PHNs &amp; LHNs to improve efficiency of broader health budget</t>
  </si>
  <si>
    <t>Reduction in hospital bed days</t>
  </si>
  <si>
    <t>Reduction in hospital separations</t>
  </si>
  <si>
    <t>National rate of improvement in health of those in poor or fair health</t>
  </si>
  <si>
    <t>National average rate of effectiveness of integrated care</t>
  </si>
  <si>
    <t>Patient centred approach</t>
  </si>
  <si>
    <t>Earnings; Persons; Full Time; Adult; Ordinary time earnings ;</t>
  </si>
  <si>
    <t>Earnings; Persons; Full Time; Adult; Total earnings ;</t>
  </si>
  <si>
    <t>Earnings; Persons; Total earnings ;</t>
  </si>
  <si>
    <t>RATIO</t>
  </si>
  <si>
    <t>Biannual</t>
  </si>
  <si>
    <t>A85002148L</t>
  </si>
  <si>
    <t>A85002151A</t>
  </si>
  <si>
    <t>A85002157R</t>
  </si>
  <si>
    <t>TABLE 3. Average Weekly Earnings, Australia (Dollars) - Original</t>
  </si>
  <si>
    <t>Employed persons by Age, Hours actually worked in all jobs and Sex, January 1991 onwards</t>
  </si>
  <si>
    <t>Table EM1a</t>
  </si>
  <si>
    <t>Released at 11:30 AM (CANBERRA TIME) 23/03/2017 </t>
  </si>
  <si>
    <t>July 2015 - June 2016</t>
  </si>
  <si>
    <t>15-64 years</t>
  </si>
  <si>
    <t>Hours actually worked in all jobs per employed person (hours)</t>
  </si>
  <si>
    <t>Hours actually worked in all jobs per employed person (full-time) (hours)</t>
  </si>
  <si>
    <t>Hours actually worked in all jobs per employed person (part-time) (hours)</t>
  </si>
  <si>
    <t>hr</t>
  </si>
  <si>
    <t>Imputed hourly wage rate</t>
  </si>
  <si>
    <t>GDP per person</t>
  </si>
  <si>
    <t>ABS 6291.0.55.001 - Labour Force, Australia, Detailed - Electronic Delivery, Feb 2017</t>
  </si>
  <si>
    <t>ABS Cat. No. 6291.0.55.001 - Labour Force, Australia, Detailed - Electronic Delivery, Feb 2017</t>
  </si>
  <si>
    <t>Cost of waiting time</t>
  </si>
  <si>
    <t>Benefit from reducing waiting time</t>
  </si>
  <si>
    <t>Assumed equal to national average rate of effectiveness of integrated care * annual cost of waiting</t>
  </si>
  <si>
    <t>Key inputs for greater use of telehealth</t>
  </si>
  <si>
    <t>Benefit from greater use of telehealth</t>
  </si>
  <si>
    <t>Cost of not using telehealth</t>
  </si>
  <si>
    <t>Assumed equal to national average rate of effectiveness of integrated care * cost of not using telehealth</t>
  </si>
  <si>
    <t>National rate of improvement in health of those otherwise in poor and fair health</t>
  </si>
  <si>
    <t>Hospital recurrent spending dividend</t>
  </si>
  <si>
    <t>Dividend from reducing waiting times</t>
  </si>
  <si>
    <t>% of day</t>
  </si>
  <si>
    <t>sources: Cao et al (2015) Understanding the economy-wide efficiency and incidence of major Australian taxes, Treasury working paper. Murphy 2016, Efficiency of the tax system: a marginal excess burden analysis, ANU Crawford School of Public Policy Working paper 4/2016</t>
  </si>
  <si>
    <t>Key inputs for low value care</t>
  </si>
  <si>
    <t>Proportion of care assumed to be low value</t>
  </si>
  <si>
    <t>Value of rebate</t>
  </si>
  <si>
    <t>Low value care (assume 10%)</t>
  </si>
  <si>
    <t>2017-18</t>
  </si>
  <si>
    <t>2018-19</t>
  </si>
  <si>
    <t>2019-20</t>
  </si>
  <si>
    <t>2020-21</t>
  </si>
  <si>
    <t>Patient-centred reforms</t>
  </si>
  <si>
    <t>Empowering for broader efficiency improvements</t>
  </si>
  <si>
    <t>Remove rebate on PHI ancillaries</t>
  </si>
  <si>
    <t>Total net economic impacts</t>
  </si>
  <si>
    <t>Attributable to patient centred approach and to other integrated care reforms</t>
  </si>
  <si>
    <t>GDP health elasticity * Health improvement</t>
  </si>
  <si>
    <t>June 2016 population from (March 2017) ABS Cat 3101. Growth from http://www.pc.gov.au/research/supporting/vumr-modelling</t>
  </si>
  <si>
    <t>Five years</t>
  </si>
  <si>
    <t>All reforms</t>
  </si>
  <si>
    <t>Estimated impacts of recommendations</t>
  </si>
  <si>
    <t>2016 prices</t>
  </si>
  <si>
    <t>After 5 years</t>
  </si>
  <si>
    <t>After 20 years</t>
  </si>
  <si>
    <t>Personal welfare gains from improved health</t>
  </si>
  <si>
    <t>Personal welfare gains from less waiting</t>
  </si>
  <si>
    <t>Workforce impact (as a GDP gain)</t>
  </si>
  <si>
    <t>Total economic impacts</t>
  </si>
  <si>
    <t>Health expenditure dividend as a share of total health spending</t>
  </si>
  <si>
    <t>Estimated net annual impacts of recommendations</t>
  </si>
  <si>
    <t>Personal welfare gains from better  health</t>
  </si>
  <si>
    <t>Deriving the impact of integrated care on health</t>
  </si>
  <si>
    <t xml:space="preserve"> National rate of adoption of integrated care (as a share of LHNs)</t>
  </si>
  <si>
    <t xml:space="preserve"> Effectiveness of LHN-PHN partnerships</t>
  </si>
  <si>
    <t>The rate of effectiveness in implementing integrated care is assumed to vary with the rate of adoption</t>
  </si>
  <si>
    <t>The final 20 per cent are minimally effective</t>
  </si>
  <si>
    <t>Effectiveness of implementation by LHNs and PHNs</t>
  </si>
  <si>
    <t>Cost of project</t>
  </si>
  <si>
    <t>Impact of project on hospital bed days</t>
  </si>
  <si>
    <t>Scope of project</t>
  </si>
  <si>
    <t>The impact of integrated care on personal welfare of patients</t>
  </si>
  <si>
    <t>Additional paid employment</t>
  </si>
  <si>
    <t>Additional home based production</t>
  </si>
  <si>
    <t>Additional leisure</t>
  </si>
  <si>
    <t>Disseminate best practice</t>
  </si>
  <si>
    <t>Patient-centred</t>
  </si>
  <si>
    <t>Improving efficiency across broader health system</t>
  </si>
  <si>
    <t>Remove tax rebate on Private Health Insurance ancillaries</t>
  </si>
  <si>
    <t>Proportion of employees without leave entitlements</t>
  </si>
  <si>
    <t>A84631158X</t>
  </si>
  <si>
    <t>A84631062F</t>
  </si>
  <si>
    <t>STOCK</t>
  </si>
  <si>
    <t>Proportion without paid leave entitlements</t>
  </si>
  <si>
    <t>Employee without paid leave entitlements ;  Employed total ;</t>
  </si>
  <si>
    <t>Employee with paid leave entitlements ;  Employed total ;</t>
  </si>
  <si>
    <t>Table 13. Employed persons by Status in employment of main job and Hours actually worked in all jobs</t>
  </si>
  <si>
    <t>The impact of integrated care on patients' time</t>
  </si>
  <si>
    <t xml:space="preserve"> from quicker services in GP and specialist waiting rooms</t>
  </si>
  <si>
    <t xml:space="preserve"> from greater use of telehealth</t>
  </si>
  <si>
    <t>GDP impact, total</t>
  </si>
  <si>
    <t>GDP impact, those in poor and fair health</t>
  </si>
  <si>
    <t xml:space="preserve"> GDP health elasticity</t>
  </si>
  <si>
    <t>GDP impact, voluntary carers</t>
  </si>
  <si>
    <t>Deriving the impact of integrated care on the workforce</t>
  </si>
  <si>
    <t>GDP impact, those in poor or fair health</t>
  </si>
  <si>
    <r>
      <t xml:space="preserve">Source: long term growth assumption in Gabbitas and Salma (2016) </t>
    </r>
    <r>
      <rPr>
        <i/>
        <sz val="9"/>
        <color theme="1"/>
        <rFont val="Arial"/>
        <family val="2"/>
      </rPr>
      <t>VUMR Modelling Reference Case, 2009-10 to 2059-60</t>
    </r>
    <r>
      <rPr>
        <sz val="9"/>
        <color theme="1"/>
        <rFont val="Arial"/>
        <family val="2"/>
      </rPr>
      <t xml:space="preserve"> (PC Staff Working Ppaer, October 2016)</t>
    </r>
  </si>
  <si>
    <t>Sum of impact for those in poor or fair health and the impact for their voluntary carers</t>
  </si>
  <si>
    <t>Value of GDP impact as percentage of counterfactual GDP</t>
  </si>
  <si>
    <t>Percentage impact of improved health on GDP * Counterfactual GDP</t>
  </si>
  <si>
    <t>This ratio depends on workforce participation of carers and ratio of time spent caring relative to time patient spends in hospital.</t>
  </si>
  <si>
    <t>Source: ABS Cat. No. 4430.0 Disability, Ageing and Carers, Australia: Summary of Findings, 2015 (18 Oct 2016), Table 36.3.</t>
  </si>
  <si>
    <t>Assumption in the absence of no public data.</t>
  </si>
  <si>
    <t>Recovered opportunity cost for days spent in hospital</t>
  </si>
  <si>
    <t>Replacement rate is assumed to be one half of average wage of community and personal service workers.</t>
  </si>
  <si>
    <t>Assume rate of benefit is one third of average earnings.</t>
  </si>
  <si>
    <t>Source: ABS Cat. No. 6291.0.55.003 - Labour Force, Australia, Detailed, Quarterly, Table 13. Employed persons by Status in employment of main job and Hours actually worked in all jobs</t>
  </si>
  <si>
    <t>Therefore the recovered days for those in poor or fair health could be more than four times the days of hospitalisation.</t>
  </si>
  <si>
    <t>Home based production</t>
  </si>
  <si>
    <t>Minutes</t>
  </si>
  <si>
    <t>Average use of time per day</t>
  </si>
  <si>
    <t>Leisure</t>
  </si>
  <si>
    <t>hour:min</t>
  </si>
  <si>
    <t>Share</t>
  </si>
  <si>
    <t>Hours &amp; minutes</t>
  </si>
  <si>
    <t>min</t>
  </si>
  <si>
    <t xml:space="preserve"> Adoption rate (share of LHNs)</t>
  </si>
  <si>
    <r>
      <t>Source</t>
    </r>
    <r>
      <rPr>
        <sz val="9"/>
        <color theme="1"/>
        <rFont val="Arial"/>
        <family val="2"/>
      </rPr>
      <t>: Productivity Commission estimates.</t>
    </r>
  </si>
  <si>
    <t>Hospital recurrent spending dividend per patient</t>
  </si>
  <si>
    <t xml:space="preserve"> Averted hospital recurrent cost per patient</t>
  </si>
  <si>
    <t xml:space="preserve">   Hospital recurrent cost per patient</t>
  </si>
  <si>
    <t xml:space="preserve"> Cost of integrated care per patient</t>
  </si>
  <si>
    <t>People whose health improves * recurrent hospital dividend per patient</t>
  </si>
  <si>
    <t>Need this to allocate gains between different types of recommendations.</t>
  </si>
  <si>
    <t>Background table</t>
  </si>
  <si>
    <t>No.</t>
  </si>
  <si>
    <t>Capital cost per bed</t>
  </si>
  <si>
    <t>Averted hospital cost per patient less cost of integrated care per patient</t>
  </si>
  <si>
    <t>Hospital recurrent cost per patient * effectiveness of LHN/PHNs</t>
  </si>
  <si>
    <t>Capital cost per bed * Reduction in hospital beds required</t>
  </si>
  <si>
    <t>Upper est</t>
  </si>
  <si>
    <t>Lower est</t>
  </si>
  <si>
    <t>Annual reduction in hospital bed days / days in a year * Occupancy rate</t>
  </si>
  <si>
    <t>Reduction in hospital separations * Average length of stay</t>
  </si>
  <si>
    <t>Counterfactual number of potentially preventable hospitalisations * National average effectiveness of the LHN-PHNs implementing integrated care</t>
  </si>
  <si>
    <t>no.</t>
  </si>
  <si>
    <t>Initially based on PPH separations in 2014-15 and PPH bed days in 2013-14 and then assumed constant.</t>
  </si>
  <si>
    <t>Various years as noted</t>
  </si>
  <si>
    <t>AIHW 2016, Hospital Resources 2014-15: Australian hospital statistics. Health service series no. 71. Cat. No. HSE 176. Canberra: AIHW.</t>
  </si>
  <si>
    <t>source: AIHW 2016, Hospital resources 2014-15 (tables 2.7 and D.2)</t>
  </si>
  <si>
    <t>Deriving the impact of integrated care on hospital recurrent spending</t>
  </si>
  <si>
    <t>Deriving the impact of integrated care on hospital capital spending</t>
  </si>
  <si>
    <t>Deriving the impact of integrated care on low value care</t>
  </si>
  <si>
    <t>Total dividend from low value care</t>
  </si>
  <si>
    <r>
      <t xml:space="preserve"> from public hospital spending</t>
    </r>
    <r>
      <rPr>
        <b/>
        <vertAlign val="superscript"/>
        <sz val="9"/>
        <color theme="1"/>
        <rFont val="Arial"/>
        <family val="2"/>
      </rPr>
      <t>a</t>
    </r>
  </si>
  <si>
    <r>
      <t xml:space="preserve"> from other health services</t>
    </r>
    <r>
      <rPr>
        <b/>
        <vertAlign val="superscript"/>
        <sz val="9"/>
        <color theme="1"/>
        <rFont val="Arial"/>
        <family val="2"/>
      </rPr>
      <t>a,b</t>
    </r>
  </si>
  <si>
    <r>
      <rPr>
        <b/>
        <vertAlign val="superscript"/>
        <sz val="9"/>
        <color theme="1"/>
        <rFont val="Arial"/>
        <family val="2"/>
      </rPr>
      <t>a</t>
    </r>
    <r>
      <rPr>
        <sz val="9"/>
        <color theme="1"/>
        <rFont val="Arial"/>
        <family val="2"/>
      </rPr>
      <t xml:space="preserve"> The dividend from reducing low value care is calculated as ten per cent of counterfactual spending multiplied by the national average rate of effectiveness of implementing integrated care.</t>
    </r>
  </si>
  <si>
    <t>Behind deriving the impact of integrated care on low value care</t>
  </si>
  <si>
    <t>The sum of the reductions in low value care by public hospitals and by other health services.</t>
  </si>
  <si>
    <t>Ten per cent of counterfactual public hospital spending * National average rate of effectiveness of implementing integrated care</t>
  </si>
  <si>
    <t>Ten per cent of counterfactual spending on other health services * National average rate of effectiveness of implementing integrated care</t>
  </si>
  <si>
    <t>Based on AIHW 2016, Health expenditure 2014-15. Updated 2014-15 data to 2016 in 2016 prices using average annual nominal growth in the ten years to 2014-15 from AIHW 2016, Health Expenditure 2014-15. Then assume growth equal to real average annual growth over the ten years to 2014-15 from AIHW 2016.</t>
  </si>
  <si>
    <t>The assumed rates of effectiveness are based on reductions in hospitalisation reported in Australian integrated care studies (table 6).</t>
  </si>
  <si>
    <t>Non-hospital recurrent spending dividend</t>
  </si>
  <si>
    <t>People whose health improves * recurrent non-hospital dividend per patient</t>
  </si>
  <si>
    <t>Non-hospital recurrent spending per patient * effectiveness of LHN/PHNs</t>
  </si>
  <si>
    <t>Simple average from the three studies that estimate avoided hospital cost (The Diabetes Care Project, Western Sydney diabetes, Inala diabetes clinic). Grows over time with the average annual growth in real per capita spending in the ten years to 2014 reported in AIHW 2016, Health expenditure 2014-15.</t>
  </si>
  <si>
    <t>Simple average of the two studies of the projects that integrate primary and hospital care and that report the cost (Western Sydney diabetes and Mt Druitt HealthOne). Grows over time with the average annual growth in real per capita spending in the ten years to 2014 reported in AIHW 2016, Health expenditure 2014-15.</t>
  </si>
  <si>
    <t>Behind deriving the impact of integrated care on hospital capital spending</t>
  </si>
  <si>
    <t>Real growth in total health spending</t>
  </si>
  <si>
    <t>Counterfactual public hospital spending is based on AIHW 2016, Health expenditure 2014-15. (Updated 2014-15 data to 2016 in 2016 prices using average annual nominal growth in the ten years to 2014-15 from AIHW 2016, Health Expenditure 2014-15.) Assume growth after 2016 equals real average annual growth over the ten years to 2014-15 from AIHW 2016.</t>
  </si>
  <si>
    <t>Deriving the net economic impact of removing the subsidy of PHI ancillaries</t>
  </si>
  <si>
    <t>Economic impact of removing the subsidy</t>
  </si>
  <si>
    <r>
      <rPr>
        <b/>
        <vertAlign val="superscript"/>
        <sz val="9"/>
        <color theme="1"/>
        <rFont val="Arial"/>
        <family val="2"/>
      </rPr>
      <t>a</t>
    </r>
    <r>
      <rPr>
        <sz val="9"/>
        <color theme="1"/>
        <rFont val="Arial"/>
        <family val="2"/>
      </rPr>
      <t xml:space="preserve"> The dividend from reducing low value care is calculated as ten per cent of the estimated value of the government subsidy of ancillaries.</t>
    </r>
  </si>
  <si>
    <t>source: Budget Health Portfolio statement for 2017-18 budget, Table 1.1 (forward estimates from table 2.4.1)</t>
  </si>
  <si>
    <t>Rebate of ancillaries based on the total PHI rebate * proportion of PHI benefits accounted for by ancillaries.</t>
  </si>
  <si>
    <t>Ancillary share of PHI benefits</t>
  </si>
  <si>
    <t>Elasticities by age group</t>
  </si>
  <si>
    <t>Inputs for GDP health elasticity</t>
  </si>
  <si>
    <t>Source: ABS National Health Survey data for 2014-15</t>
  </si>
  <si>
    <t>source of 2016 data: 5206.0 Australian National Accounts: National Income, Expenditure and Product, Table 1 Key National Accounts Aggregates. After 2016, assumed average annual growth rate is from Gabbitas and Salma (2016).</t>
  </si>
  <si>
    <t>Assumed future average annual growth rate</t>
  </si>
  <si>
    <t>Equivalent to the national effectiveness in implementation of LHNs/PHNs (which is equal to the rate of effectiveness of LHNs/PHNs scaled by the rate at which LHNs seek to adopt best practice in integrated care).</t>
  </si>
  <si>
    <t xml:space="preserve">Health expenditure dividend </t>
  </si>
  <si>
    <t>Net economic benefits (costs)</t>
  </si>
  <si>
    <t>Note: Costs and outlays are taken into account in detailed calculations.</t>
  </si>
  <si>
    <t>Disseminate best practice (incentives for all LHN-PHNs to adopt best practice)</t>
  </si>
  <si>
    <t>Population inputs</t>
  </si>
  <si>
    <t>GDP inputs</t>
  </si>
  <si>
    <t>Health spending inputs</t>
  </si>
  <si>
    <t>Source: AIHW health expenditure 2014-15, table 2.1</t>
  </si>
  <si>
    <t>GDP growth assumption</t>
  </si>
  <si>
    <t>Average annual growth, 2004-05 to 2014-15</t>
  </si>
  <si>
    <t>Real growth in per capita total health spending</t>
  </si>
  <si>
    <t>Source: Based on AIHW 2016, Health expenditure 2014-15, figure 2.14</t>
  </si>
  <si>
    <t>Population, GDP, health spending, low value care and deadweight loss inputs into calculations</t>
  </si>
  <si>
    <t>Disseminate best practice (incentives for other LHNs to adopt best practice, including integrated care)</t>
  </si>
  <si>
    <t>Inputs into calculations continued</t>
  </si>
  <si>
    <t>Inputs into calculations continued on next sheet …</t>
  </si>
  <si>
    <t>Net present value of net economic benefits of healthier people reforms</t>
  </si>
  <si>
    <t>Nominal growth in total health spending</t>
  </si>
  <si>
    <t>Source: AIHW health expenditure 2014-15 table 2.1</t>
  </si>
  <si>
    <t>Annual inputs into calculations</t>
  </si>
  <si>
    <t>Based on ABS Health Survey 2014-15 (National Health Survey: First Results, 2014–15 — Australia), Table 15-1</t>
  </si>
  <si>
    <t>ACCELERATED Rate of adoption of integrated care (share of LHNs)</t>
  </si>
  <si>
    <t xml:space="preserve">  Next 60% are more effective</t>
  </si>
  <si>
    <t xml:space="preserve">  Bottom 20% are more effective</t>
  </si>
  <si>
    <t>Sensitivity: Assume the effectiveness of the last to implement ranges from 30 to 35 per cent (instead of 17 to 30 per cent in the standard assumptions).</t>
  </si>
  <si>
    <t>Sensitivity: Assume uptake is twice as fast as that of health pathways (see background table 1.1)</t>
  </si>
  <si>
    <t>Summary tables</t>
  </si>
  <si>
    <t>Prior to reform</t>
  </si>
  <si>
    <t>Estimated turnaround</t>
  </si>
  <si>
    <t>After reform, but prior to earthquake</t>
  </si>
  <si>
    <t>Budget position as budget share</t>
  </si>
  <si>
    <t>Budget dividend</t>
  </si>
  <si>
    <t>Nominal</t>
  </si>
  <si>
    <t>source: Timmins and Ham (2013), pages 30-31</t>
  </si>
  <si>
    <t>Productivity Commission based on AIHW nominal growth</t>
  </si>
  <si>
    <t>AIHW Health expenditure 2014-15, Table A.3</t>
  </si>
  <si>
    <t>AIHW 2016, Health expenditure Australia 2014-15. Health and welfare expenditure series no. 57. Cat. No. HWE 67. Canberra: AIHW. And Productivity Commission estimates.</t>
  </si>
  <si>
    <t>ABS 2015, National Health Survey: First Results, 2014-15. Cat. No. 4364.0.55.001</t>
  </si>
  <si>
    <t>ABS 2017, Consumer Price Index, Australia. March 2017. Cat. No. 6401.0</t>
  </si>
  <si>
    <t>Index</t>
  </si>
  <si>
    <t>Date</t>
  </si>
  <si>
    <t>Indices used by PC to convert various data to 2016 prices</t>
  </si>
  <si>
    <t>ABS 2017, Average Weekly Earnings, Australia. November 2016. Cat. No. 6302.0 (released 23/2/2017)</t>
  </si>
  <si>
    <t>ABS 2017, Australian Demographic Statistics, Cat. No. 3101.0 (data up to Sep 2016, March 2017 release)</t>
  </si>
  <si>
    <t>ABS 2017, Labour Force, Australia, Detailed, Quarterly, May 2017. Cat. No. 6291.0.55.003.</t>
  </si>
  <si>
    <t>Estimating the cost of integration in HARP, 2001-02 to 2005-06</t>
  </si>
  <si>
    <t>Cost of intervention over initial four years</t>
  </si>
  <si>
    <t>Number of patients with HARP care</t>
  </si>
  <si>
    <t>Cost of intervention per patient</t>
  </si>
  <si>
    <t>$ per person</t>
  </si>
  <si>
    <t>$ per person in 2016 prices</t>
  </si>
  <si>
    <t>Source:</t>
  </si>
  <si>
    <t>Victorian Department of Human Services 2006, 'Improving care: Hospital Admission Risk Program: Public Report', August.</t>
  </si>
  <si>
    <t>Estimating the percentage change in hospitalisation in the Inala project, 2007 to 2008</t>
  </si>
  <si>
    <t>Estimating the avoided cost of hospitalisation in the Inala project, 2007 to 2008</t>
  </si>
  <si>
    <t>Values</t>
  </si>
  <si>
    <t>Hospitalisation cost per patient in control program</t>
  </si>
  <si>
    <t>Estimating the percentage change in hospitalisation in the Diabetes Care Project, 2011 to 2014</t>
  </si>
  <si>
    <t>Estimating the percentage change in hospitalisation in the Mt Druitt HealthOne project, 2006 to 2012</t>
  </si>
  <si>
    <t>Estimating the cost of intervention and the avoided cost of hospitalisation in the Diabetes Care Project, 2011 to 2014</t>
  </si>
  <si>
    <t>Number of patients in project</t>
  </si>
  <si>
    <t>Cost of potentially preventable hospitalisation (PPH) per person</t>
  </si>
  <si>
    <t>Share of PPH cost accounted for by the top five per cent of patients</t>
  </si>
  <si>
    <t>Total cost of PPH in control group</t>
  </si>
  <si>
    <t>Avoided cost of hospitalisation per patient</t>
  </si>
  <si>
    <t>Other data</t>
  </si>
  <si>
    <t>Annual salary of high grade nurse</t>
  </si>
  <si>
    <t>Number of clients</t>
  </si>
  <si>
    <t>Capital funding for six projects in four Local Hospital Networks</t>
  </si>
  <si>
    <t>Estimating the cost of integration in the Mt Druitt HealthOne project, 2006 to 2012</t>
  </si>
  <si>
    <t>Cost of construction and lease at Mt Druitt</t>
  </si>
  <si>
    <t>Capital cost of Mt Druitt intervention</t>
  </si>
  <si>
    <t>Personnel cost of Mt Druitt intervention</t>
  </si>
  <si>
    <t>Additional nursing staff</t>
  </si>
  <si>
    <t>$ per year</t>
  </si>
  <si>
    <t>$m (over six years)</t>
  </si>
  <si>
    <t>Total capital cost of Mt Druitt intervention</t>
  </si>
  <si>
    <t>Cost of inpatient admissions for patients with diabetes (primary or secondary diagnosis only)</t>
  </si>
  <si>
    <t>$ per patient in 2016 prices</t>
  </si>
  <si>
    <r>
      <t xml:space="preserve">McNab and Gillespie 2015, 'Bridging the chronic care gap: HealthOne Mt Druitt, Australia', </t>
    </r>
    <r>
      <rPr>
        <i/>
        <sz val="9"/>
        <color theme="1"/>
        <rFont val="Arial"/>
        <family val="2"/>
      </rPr>
      <t>International Journal of Integrated Care</t>
    </r>
    <r>
      <rPr>
        <sz val="9"/>
        <color theme="1"/>
        <rFont val="Arial"/>
        <family val="2"/>
      </rPr>
      <t>, vol. 15, no. 6.</t>
    </r>
  </si>
  <si>
    <r>
      <t xml:space="preserve">Hollingworth et al. 2017, 'Original research: Impact of a general practictioner-led integrated model of care on the cost of potentially preventable diabetes-related hospitalisations', </t>
    </r>
    <r>
      <rPr>
        <i/>
        <sz val="9"/>
        <color theme="1"/>
        <rFont val="Arial"/>
        <family val="2"/>
      </rPr>
      <t>Primary Care Diabetes</t>
    </r>
    <r>
      <rPr>
        <sz val="9"/>
        <color theme="1"/>
        <rFont val="Arial"/>
        <family val="2"/>
      </rPr>
      <t xml:space="preserve">, vol. 11, no. 4, pp. 344-347; Zhang et al. 2015, 'Impact of an integrated model of care on potentially preventable hospitalizations for people with Type 2 diabetes mellitus', </t>
    </r>
    <r>
      <rPr>
        <i/>
        <sz val="9"/>
        <color theme="1"/>
        <rFont val="Arial"/>
        <family val="2"/>
      </rPr>
      <t>Diabetic Medicine</t>
    </r>
    <r>
      <rPr>
        <sz val="9"/>
        <color theme="1"/>
        <rFont val="Arial"/>
        <family val="2"/>
      </rPr>
      <t>, no. 7, p.872.</t>
    </r>
  </si>
  <si>
    <r>
      <t>Sources</t>
    </r>
    <r>
      <rPr>
        <sz val="9"/>
        <color theme="1"/>
        <rFont val="Arial"/>
        <family val="2"/>
      </rPr>
      <t>: Productivity Commission estimates based on ABS (2016: National Health Survey 2014-15), AIHW 2016; NHPA 2015; HealthPathways Community 2017; SEMPHN 2017; and the five integrated care studies summarised in table 6.</t>
    </r>
  </si>
  <si>
    <r>
      <t xml:space="preserve">DoH 2015, </t>
    </r>
    <r>
      <rPr>
        <i/>
        <sz val="9"/>
        <color theme="1"/>
        <rFont val="Arial"/>
        <family val="2"/>
      </rPr>
      <t>Evaluation Report of the Diabetes Care Project</t>
    </r>
    <r>
      <rPr>
        <sz val="9"/>
        <color theme="1"/>
        <rFont val="Arial"/>
        <family val="2"/>
      </rPr>
      <t>.</t>
    </r>
  </si>
  <si>
    <t>Commission estimates based on unpublished data</t>
  </si>
  <si>
    <t>WSLHD and PHNWS 2016, 'Taking the heat out of our diabetes hotspot: Western Sydney Diabetes Score Card'; Western Sydney Diabetes initiative, pers. comm., 15 March 2017.</t>
  </si>
  <si>
    <t>Project data</t>
  </si>
  <si>
    <t>Western Sydney Diabetes initiative, pers. comm., 15 March 2017.</t>
  </si>
  <si>
    <t>Estimating the percentage change in hospitalisation in the Western Sydney Diabetes Initiative, 2012 to 2016</t>
  </si>
  <si>
    <t>Estimating the cost of intervention and the avoided cost of hospitalisation in the Western Sydney Diabetes Initiative, 2012 to 2016</t>
  </si>
  <si>
    <t>Hollingworth et al. (2017); Zhang et al. (2016) cited above.</t>
  </si>
  <si>
    <t>Detail behind the estimated impacts of recommendations in table 3.2</t>
  </si>
  <si>
    <t>Detail behind the indicative Net Present Value impacts of health sector recommendations in table 2</t>
  </si>
  <si>
    <t>Behind the impact of integrated care on health in tables 4 and 5</t>
  </si>
  <si>
    <t>Behind the impact of integrated care on personal welfare of (hospital) patients in table 7</t>
  </si>
  <si>
    <t>Behind the impact of integrated care on patients' time in table 8</t>
  </si>
  <si>
    <t>Behind deriving the impact of integrated care on the workforce in table 9</t>
  </si>
  <si>
    <t>Behind deriving the impact of integrated care on hospital recurrent spending in table 10</t>
  </si>
  <si>
    <t>Behind deriving the impact of integrated care (through improving health) on non-hospital recurrent spending in background table 2</t>
  </si>
  <si>
    <t>3 (health)</t>
  </si>
  <si>
    <t>4 (welfare)</t>
  </si>
  <si>
    <t>5 (time)</t>
  </si>
  <si>
    <t>6 (workforce)</t>
  </si>
  <si>
    <t>7&amp;8 (recurrent)</t>
  </si>
  <si>
    <t>9 (capital)</t>
  </si>
  <si>
    <t>10 (low value)</t>
  </si>
  <si>
    <t>11 (PHI)</t>
  </si>
  <si>
    <t>12 (Annual inputs: pop, gdp, etc)</t>
  </si>
  <si>
    <t>Tables reported in inquiry</t>
  </si>
  <si>
    <t>Background tables</t>
  </si>
  <si>
    <t xml:space="preserve"> Inputs into calculations</t>
  </si>
  <si>
    <t xml:space="preserve"> Net Present Value calculations</t>
  </si>
  <si>
    <t>Data tables</t>
  </si>
  <si>
    <t xml:space="preserve"> AIHW Hospital resources</t>
  </si>
  <si>
    <t xml:space="preserve"> ABS CPI</t>
  </si>
  <si>
    <t xml:space="preserve"> ABS earnings</t>
  </si>
  <si>
    <t xml:space="preserve"> ABS average weekly hours</t>
  </si>
  <si>
    <t xml:space="preserve"> ABS demographic</t>
  </si>
  <si>
    <t xml:space="preserve"> ABS Time use</t>
  </si>
  <si>
    <t xml:space="preserve"> ABS occupational wage</t>
  </si>
  <si>
    <t xml:space="preserve"> ABS Leave entitlement</t>
  </si>
  <si>
    <t>Main calculations</t>
  </si>
  <si>
    <t>(return to contents)</t>
  </si>
  <si>
    <t>This is the national average effectiveness of LHN-PHN partnerships that are actually implementing integrated care. It is how effective they are in achieving better outcomes as a result of implementing an integrated approach to care. As less effective partnerships come on board, the national average declines.</t>
  </si>
  <si>
    <r>
      <t>Western Sydney Diabetes Initiative, 2012‑2016</t>
    </r>
    <r>
      <rPr>
        <b/>
        <i/>
        <sz val="9"/>
        <color theme="1"/>
        <rFont val="Arial"/>
        <family val="2"/>
      </rPr>
      <t xml:space="preserve"> a,b</t>
    </r>
  </si>
  <si>
    <t>Inala Chronic Disease Management Service, 2007‑2008 c</t>
  </si>
  <si>
    <r>
      <rPr>
        <b/>
        <vertAlign val="superscript"/>
        <sz val="9"/>
        <color theme="1"/>
        <rFont val="Arial"/>
        <family val="2"/>
      </rPr>
      <t>a</t>
    </r>
    <r>
      <rPr>
        <sz val="9"/>
        <color theme="1"/>
        <rFont val="Arial"/>
        <family val="2"/>
      </rPr>
      <t xml:space="preserve"> The estimated impact on hospital bed days is based on the reported impacts on average length of stay.</t>
    </r>
  </si>
  <si>
    <t xml:space="preserve">c The estimated impact on hospital bed days is based on the
reported impacts on admission rate. </t>
  </si>
  <si>
    <t>na Not available.</t>
  </si>
  <si>
    <t>Sources: Productivity Commission estimates based on the five studies.</t>
  </si>
  <si>
    <t>Notes for row</t>
  </si>
  <si>
    <t>This is the workforce effect of improved health both on those whose health has improved and on their voluntary carers</t>
  </si>
  <si>
    <t>Contribution to total net present value, % share</t>
  </si>
  <si>
    <t>Contribution to total annual payment in perpetuity, % share</t>
  </si>
  <si>
    <r>
      <t>Net present value</t>
    </r>
    <r>
      <rPr>
        <b/>
        <vertAlign val="superscript"/>
        <sz val="9"/>
        <color theme="1"/>
        <rFont val="Arial"/>
        <family val="2"/>
      </rPr>
      <t>a</t>
    </r>
  </si>
  <si>
    <r>
      <t>Annual payment of NPV in perpetuity</t>
    </r>
    <r>
      <rPr>
        <b/>
        <vertAlign val="superscript"/>
        <sz val="9"/>
        <color theme="1"/>
        <rFont val="Arial"/>
        <family val="2"/>
      </rPr>
      <t>b</t>
    </r>
  </si>
  <si>
    <t>a Net present values are rounded in the report in order to minimise apparent specificity and thereby communicate that these are indicative numbers only.</t>
  </si>
  <si>
    <t>b Annual payment in perpetuity is the net present value of the economic gains expressed an annual payment that goes on forever. It is equal to the discount rate times the net present value.</t>
  </si>
  <si>
    <t>Dead weight loss on low value care (hospitals)</t>
  </si>
  <si>
    <t xml:space="preserve">  Dividend from improved health</t>
  </si>
  <si>
    <t xml:space="preserve">     Hospital recurrent spending dividend</t>
  </si>
  <si>
    <t xml:space="preserve">     Hospital capital spending dividend</t>
  </si>
  <si>
    <t xml:space="preserve">     Other health services dividend</t>
  </si>
  <si>
    <t xml:space="preserve">  Dividend from reducing low value care (hospitals)</t>
  </si>
  <si>
    <t>Dividend from reducing low value care (excl. public hospitals)</t>
  </si>
  <si>
    <t xml:space="preserve">  Rate of adoption of integrated care (share of LHNs)</t>
  </si>
  <si>
    <t xml:space="preserve">  Effectiveness of LHN-PHN partnerships</t>
  </si>
  <si>
    <t xml:space="preserve">    Top 5% are innovators</t>
  </si>
  <si>
    <t xml:space="preserve">    Next 15% are effective</t>
  </si>
  <si>
    <t xml:space="preserve">    Next 60% are moderately effective</t>
  </si>
  <si>
    <t xml:space="preserve">    Bottom 20% are a little effective</t>
  </si>
  <si>
    <t xml:space="preserve">  from employment</t>
  </si>
  <si>
    <t xml:space="preserve">  from home based production </t>
  </si>
  <si>
    <t xml:space="preserve">  from leisure</t>
  </si>
  <si>
    <t xml:space="preserve">  Childcare</t>
  </si>
  <si>
    <t xml:space="preserve">  Domestic duties</t>
  </si>
  <si>
    <t xml:space="preserve">  Voluntary work</t>
  </si>
  <si>
    <t xml:space="preserve">  Social and community interaction</t>
  </si>
  <si>
    <t xml:space="preserve">  Recreation and leisure</t>
  </si>
  <si>
    <t xml:space="preserve">  Average adult weekly earnings (May 2015 to Nov 2016)</t>
  </si>
  <si>
    <t xml:space="preserve">  Employees hours worked per week (FT and PT)</t>
  </si>
  <si>
    <t xml:space="preserve">  GDP impact, those in poor or fair health</t>
  </si>
  <si>
    <t xml:space="preserve">  GDP health elasticity</t>
  </si>
  <si>
    <t xml:space="preserve">  Ratio of carer's GDP impact to GDP impact of those requiring the care</t>
  </si>
  <si>
    <t xml:space="preserve">  Participation rate of voluntary carers in the workforce</t>
  </si>
  <si>
    <t xml:space="preserve">  Days spent voluntarily caring per day of hospitalisation</t>
  </si>
  <si>
    <t xml:space="preserve">  Averted hospital recurrent cost per patient</t>
  </si>
  <si>
    <t xml:space="preserve">  Averted hospital recurrent cost per patient in top 5% LHNS</t>
  </si>
  <si>
    <t xml:space="preserve">     Hospital recurrent cost per patient</t>
  </si>
  <si>
    <t xml:space="preserve">  Cost of integrated care per patient</t>
  </si>
  <si>
    <t xml:space="preserve">  Non-hospital recurrent spending dividend per patient</t>
  </si>
  <si>
    <t xml:space="preserve">    Non-hospital recurrent spending per patient</t>
  </si>
  <si>
    <t xml:space="preserve">  Public hospital dividend</t>
  </si>
  <si>
    <t xml:space="preserve">     Public hospital spending</t>
  </si>
  <si>
    <t xml:space="preserve">  Dividend from other health services</t>
  </si>
  <si>
    <t xml:space="preserve">     Spending on other health services</t>
  </si>
  <si>
    <t>Those in poor or fair health as a proportion of potentially preventable hospitalisation (PPH) separations</t>
  </si>
  <si>
    <t>$ per person per hour</t>
  </si>
  <si>
    <t>of foregone employment for employees with leave entitlements</t>
  </si>
  <si>
    <t>of foregone leisure</t>
  </si>
  <si>
    <t>of foregone home based production</t>
  </si>
  <si>
    <t>Opportunity cost …</t>
  </si>
  <si>
    <t>2016 is from ABS Cat. No. 6306.0 - Employee earnings and hours, Australia, May 2016. Rises over time with GDP per person.</t>
  </si>
  <si>
    <t>Average adult hourly cash earnings of community and personal service workers (grows with GDP per person)</t>
  </si>
  <si>
    <t>Key inputs for reduced cost of waiting in doctor waiting rooms</t>
  </si>
  <si>
    <t>Capital cost inputs</t>
  </si>
  <si>
    <t>Hospital separation inputs</t>
  </si>
  <si>
    <t>Inputs into background table</t>
  </si>
  <si>
    <t>days / beds</t>
  </si>
  <si>
    <t>Behind deriving the impact of removing the subsidy of Private Health Insurance ancillaries</t>
  </si>
  <si>
    <t>Sensitivity: Net benefit from all reforms if accelerated adoption of integrated care</t>
  </si>
  <si>
    <t>Sensitivity: Accelerated adoption of integrated care</t>
  </si>
  <si>
    <t>The uptake of health pathways in Australia (HealthPathways or Map of Medicine)</t>
  </si>
  <si>
    <t>Uptake of health pathways by Local Hospital Networks</t>
  </si>
  <si>
    <t>Control group change</t>
  </si>
  <si>
    <t>Group 2 change</t>
  </si>
  <si>
    <t>National benchmark</t>
  </si>
  <si>
    <t>Change during project</t>
  </si>
  <si>
    <t>Final</t>
  </si>
  <si>
    <t>Initial</t>
  </si>
  <si>
    <t>Initial (based on Western Sydney Diabetes Score Cared publication)</t>
  </si>
  <si>
    <t>Per cent of initial</t>
  </si>
  <si>
    <t>years</t>
  </si>
  <si>
    <t>Length of project</t>
  </si>
  <si>
    <t>Total cost of PPH for the five per cent most costly patients</t>
  </si>
  <si>
    <t>Per patient cost of PPH for the five per cent most costly patients</t>
  </si>
  <si>
    <t>2010-12</t>
  </si>
  <si>
    <t>2016 (PC estimate)</t>
  </si>
  <si>
    <t>As proportion of 15+ population</t>
  </si>
  <si>
    <t>% after rounding</t>
  </si>
  <si>
    <t>Note: Estimates are based on the self assessment of the sample surveyed. See explanatory notes to ABS National Health Survey for details.</t>
  </si>
  <si>
    <t>PBS/NDSS</t>
  </si>
  <si>
    <t>Allied health</t>
  </si>
  <si>
    <t>Other MBS</t>
  </si>
  <si>
    <t>hospital - potentially preventable</t>
  </si>
  <si>
    <t>hospital - other</t>
  </si>
  <si>
    <t>GP chronic disease item costs</t>
  </si>
  <si>
    <t>GP other MBS</t>
  </si>
  <si>
    <t>p.48-49</t>
  </si>
  <si>
    <t>total</t>
  </si>
  <si>
    <t>Number of patients</t>
  </si>
  <si>
    <t>fig 28</t>
  </si>
  <si>
    <t>Total hospital</t>
  </si>
  <si>
    <t>Total excluding hospital</t>
  </si>
  <si>
    <t>Estimating the health costs for those with poor or fair health</t>
  </si>
  <si>
    <t>Data from Diabetes Care Project Evaluation Report</t>
  </si>
  <si>
    <t>Category of health care</t>
  </si>
  <si>
    <t>Share of costs of the 5% most expensive patients</t>
  </si>
  <si>
    <t>Share of costs of the next 15% most expensive patients</t>
  </si>
  <si>
    <t>Cost per person for all patients</t>
  </si>
  <si>
    <t>$/person</t>
  </si>
  <si>
    <t>p.31</t>
  </si>
  <si>
    <t>Cost for all patients</t>
  </si>
  <si>
    <t>Est. costs for those who are in poor or fair health</t>
  </si>
  <si>
    <t>Non-hospital recurrent spending for all patients</t>
  </si>
  <si>
    <t>Non-hospital recurrent spending for those with poor or fair health</t>
  </si>
  <si>
    <t>Non-hospital spending assumed to be affected by integrated care, 2016 (PC estimate)</t>
  </si>
  <si>
    <t>Productivity Commission estimate</t>
  </si>
  <si>
    <t>source: DCP evaluation page/figure …</t>
  </si>
  <si>
    <t>DoH 2015, Appendices to Evaluation, Part 5 (Costs) p.46.</t>
  </si>
  <si>
    <r>
      <t xml:space="preserve">DoH 2015, </t>
    </r>
    <r>
      <rPr>
        <i/>
        <sz val="9"/>
        <color theme="1"/>
        <rFont val="Arial"/>
        <family val="2"/>
      </rPr>
      <t>Evaluation Report of the Diabetes Care Project (pages/figures as specified)</t>
    </r>
  </si>
  <si>
    <t>The proportion of non-hospital recurrent spending that is for the 15% of patients who account for the highest share of spending. The 15% is derived from the proportion of those in poor or fair health (who account for 15% of the population).</t>
  </si>
  <si>
    <r>
      <t>Sources</t>
    </r>
    <r>
      <rPr>
        <sz val="9"/>
        <color theme="1"/>
        <rFont val="Arial"/>
        <family val="2"/>
      </rPr>
      <t>: Productivity Commission estimates based on AIHW 2016 Health Expenditure 2014-15</t>
    </r>
  </si>
  <si>
    <t>Sourced from AIHW 2016, Health Expenditure 2014-15. Excludes hospitals, dental, public health, administration and research.</t>
  </si>
  <si>
    <t>ratio</t>
  </si>
  <si>
    <t>Those in poor or fair health as a ratio to the number of potentially preventable hospitalisation separations</t>
  </si>
  <si>
    <t>Recovered opportunity cost for those in poor or fair health (higher estimate: four times more than days in hospital)</t>
  </si>
  <si>
    <t>Recovered opportunity cost for those in poor or fair health (lower estimate: assume 40% less opportunity cost when not sick enough to be hospitalised)</t>
  </si>
  <si>
    <t xml:space="preserve">This is the estimate of the net gains for days otherwise spent in hospital. </t>
  </si>
  <si>
    <t>This excludes any rise in employment that may result from greater participation. It assumes an opportunity cost of $10/hour or around a quarter of average wage.</t>
  </si>
  <si>
    <t>Net gain for days spent in hospital is scaled up by four to estimate net gains for those in fair or poor health (because the number of people in poor or fair health is four times the number of days in hospital).</t>
  </si>
  <si>
    <t>Scale back to allow for the possiblity that avoiding acute illness has more marginal value to a person than avoiding less acute illness.</t>
  </si>
  <si>
    <t>Counterfactual spending on other health services is based on AIHW 2016, Health expenditure 2014-15. Other health services excludes hospitals, administration, research and public health.</t>
  </si>
  <si>
    <t>National population (aged 15+) in poor or fair health * Adoption rate</t>
  </si>
  <si>
    <t>Non-hospital recurrent spending / population aged 15+ in poor or fair health. Grows over time with the average annual growth in real per capita spending in the ten years to 2014 reported in AIHW 2016, Health expenditure 2014-15.</t>
  </si>
  <si>
    <t>Population aged 15+ in poor or fair health</t>
  </si>
  <si>
    <r>
      <rPr>
        <b/>
        <vertAlign val="superscript"/>
        <sz val="9"/>
        <color theme="1"/>
        <rFont val="Arial"/>
        <family val="2"/>
      </rPr>
      <t>b</t>
    </r>
    <r>
      <rPr>
        <sz val="9"/>
        <color theme="1"/>
        <rFont val="Arial"/>
        <family val="2"/>
      </rPr>
      <t xml:space="preserve"> Other health services included here are GPs, allied health, specialists, community health, pharmaceuticals, diagnostics, patient transport, aids and appliances.</t>
    </r>
  </si>
  <si>
    <r>
      <rPr>
        <b/>
        <vertAlign val="superscript"/>
        <sz val="9"/>
        <color theme="1"/>
        <rFont val="Arial"/>
        <family val="2"/>
      </rPr>
      <t>a</t>
    </r>
    <r>
      <rPr>
        <sz val="9"/>
        <color theme="1"/>
        <rFont val="Arial"/>
        <family val="2"/>
      </rPr>
      <t xml:space="preserve"> Assuming that low value care is already excluded.</t>
    </r>
  </si>
  <si>
    <r>
      <t xml:space="preserve"> from removal of deadweight burden</t>
    </r>
    <r>
      <rPr>
        <vertAlign val="superscript"/>
        <sz val="9"/>
        <color theme="1"/>
        <rFont val="Arial"/>
        <family val="2"/>
      </rPr>
      <t>a</t>
    </r>
  </si>
  <si>
    <r>
      <t xml:space="preserve"> from assumed low value care</t>
    </r>
    <r>
      <rPr>
        <vertAlign val="superscript"/>
        <sz val="9"/>
        <color theme="1"/>
        <rFont val="Arial"/>
        <family val="2"/>
      </rPr>
      <t>b</t>
    </r>
  </si>
  <si>
    <t>Deadweight burden on low value care (hospitals)</t>
  </si>
  <si>
    <t>Deadweight burden (on remainder)</t>
  </si>
  <si>
    <t>For the proportion that is assumed to not be low value care, there is a deadweight burden associated with raising the government revenue to finance it.</t>
  </si>
  <si>
    <t>average of range of deadweight burden for income tax</t>
  </si>
  <si>
    <t>Key inputs for deadweight burden</t>
  </si>
  <si>
    <t>Consists of savings generated because of improved health and because of reducing expenditure on ineffective care. If this were to reinvested, there would be second round impacts on health, but these are not calculated.</t>
  </si>
  <si>
    <t>While ageing would affect age cohort shares - and have other implications for health costs - for simplicity these shifts are not taken into account. (Were ageing to be taken into account, the proportion nearing the age of retirement would rise, tending to increase the GDP effect of improving the health of this cohort. And at the same time, the proportion past retirement age would rise, tending to reduce the workforce impact of improving health. Further, improved health could extend the working life of Australians and extend the longevity of life after retirement. These complex relationships may  positively or negatively alter the net workforce effect on GDP but are not taken into account here.)</t>
  </si>
  <si>
    <t>source of 2016 is the "Hours lost through waiting" workbook. Grows with GDP.</t>
  </si>
  <si>
    <t>source: "Hours lost through waiting" workbook. Grows with GDP.</t>
  </si>
  <si>
    <t>2016 data from ABS National Health Survey 2014-15. For simplicity, assumed to grow with total population. (While ageing could affect the share of those in poor or fair health, this is not taken into account here.)</t>
  </si>
  <si>
    <t>Verikios et al (2015) simulation 2: estimate for poor or fair health aged 29-38 (scaled down by 10 because Verikios simulating 10% improvement)</t>
  </si>
  <si>
    <t>Verikios et al (2015) simulation 1: estimate for poor or fair health aged 49-60  (scaled down by 10 because Verikios simulating 10% improvement)</t>
  </si>
  <si>
    <t>2016 cost is the cost per bed of redeveloping an existing hospital based on the average cost of a new hospital. Grows with real health spending.</t>
  </si>
  <si>
    <t>Based on PPH separations in 2014-15. Assumed to grow with Australian population.</t>
  </si>
  <si>
    <t>source: APRA Quarterly PHI stats, March 2017 (released May 2017), page 3. Data is for 12 months to 31 March.</t>
  </si>
  <si>
    <t>Based on a survey summarised in Supporting Paper 6, box 4</t>
  </si>
  <si>
    <t>Behind the tables reported in Supporting Paper 6 - Impacts of health recommendations</t>
  </si>
  <si>
    <t>Behind the table reported in Chapter 2 - Healthier Australians</t>
  </si>
  <si>
    <t>Table reported in Chapter 2 - Healthier Australians</t>
  </si>
  <si>
    <t>Tables reported in Supporting Paper 6 - Impacts of health recommendations</t>
  </si>
  <si>
    <t>Background tables 14 to 22 lie behind table 6 of Supporting Paper 6 (key estimates from Australian integrated care projects)</t>
  </si>
  <si>
    <t>Behind the Productivity Commission estimate reported in Appendix B, Supporting Paper 5 - Integrated care in Australia</t>
  </si>
  <si>
    <t>Row notes</t>
  </si>
  <si>
    <t>P value measures the probability that this observed result is not representative of reality. A P value below 0.05 is often taken to indicate that the result is statistically reliable.</t>
  </si>
  <si>
    <r>
      <t>Est. share of costs of those who are in poor or fair health</t>
    </r>
    <r>
      <rPr>
        <b/>
        <vertAlign val="superscript"/>
        <sz val="9"/>
        <color theme="1"/>
        <rFont val="Arial"/>
        <family val="2"/>
      </rPr>
      <t>a</t>
    </r>
  </si>
  <si>
    <r>
      <rPr>
        <vertAlign val="superscript"/>
        <sz val="9"/>
        <color indexed="8"/>
        <rFont val="Arial"/>
        <family val="2"/>
      </rPr>
      <t>a</t>
    </r>
    <r>
      <rPr>
        <sz val="9"/>
        <color indexed="8"/>
        <rFont val="Arial"/>
        <family val="2"/>
      </rPr>
      <t xml:space="preserve"> This is a conservative estimate given that the more expensive patients will account for a disproportionately larger share of these costs and this calculation takes a disproportionately lower share. A conservative approach is preferred given that the studies being relied upon focus on the impact of improved health on hospital costs rather than on broader health system costs.</t>
    </r>
  </si>
  <si>
    <t xml:space="preserve"> for SP 5 Appendix B</t>
  </si>
  <si>
    <t xml:space="preserve"> AIHW Health spending &amp; related PC estimates</t>
  </si>
  <si>
    <t xml:space="preserve"> ABS Health Survey</t>
  </si>
  <si>
    <t>Total cost of failing to use online services</t>
  </si>
  <si>
    <t>Cost of lost time/transport costs for non-employed people</t>
  </si>
  <si>
    <t>Cost of lost time/transport costs for employed people on sick leave</t>
  </si>
  <si>
    <t>Cost of lost time/transport costs for employed people who could be at work</t>
  </si>
  <si>
    <t>Estimates of consultations for non-employed people</t>
  </si>
  <si>
    <t>Estimates of consultations for employed people who could be at work</t>
  </si>
  <si>
    <t>Estimates of consultations for employed people on sick leave</t>
  </si>
  <si>
    <t>Estimated consultations that could avoid travel times</t>
  </si>
  <si>
    <t>c) Transport costs (public transport, car etc and parking) per trip assumed</t>
  </si>
  <si>
    <t>(b) Share of consultations that could be undertaken online or by phone (%)</t>
  </si>
  <si>
    <t>(a) Assumed travel times to and from surgery (minutes)</t>
  </si>
  <si>
    <t>Estimated costs of failing to use online or telephone based consultations</t>
  </si>
  <si>
    <t>Estimated reduction in labour supply (%)</t>
  </si>
  <si>
    <t>$ cost of wasted time</t>
  </si>
  <si>
    <t>Estimated wasted hours for non-employed people</t>
  </si>
  <si>
    <t>Estimated wasted hours for employed people on sick leave</t>
  </si>
  <si>
    <t>Estimated wasted hours for employed people who could be at work</t>
  </si>
  <si>
    <t>Estimated wasted hours</t>
  </si>
  <si>
    <t>Estimated consultations attended by an adult</t>
  </si>
  <si>
    <t>65 years and over</t>
  </si>
  <si>
    <t xml:space="preserve">  55-64 years</t>
  </si>
  <si>
    <t xml:space="preserve">  45-54 years</t>
  </si>
  <si>
    <t xml:space="preserve">  35-44 years</t>
  </si>
  <si>
    <t xml:space="preserve">  25-34 years</t>
  </si>
  <si>
    <t xml:space="preserve">  15-24 years</t>
  </si>
  <si>
    <t>Check</t>
  </si>
  <si>
    <t>85 and over</t>
  </si>
  <si>
    <t>Take account of need to have children accompanied by adult (allocate 10% to 15-24 year olds and 80% to 25-34 year olds and 10% to 35-44 year olds)</t>
  </si>
  <si>
    <t>Estimated number of consultations</t>
  </si>
  <si>
    <t>Estimated shares of consultations by age group</t>
  </si>
  <si>
    <t>&lt;15</t>
  </si>
  <si>
    <t>Estimated consultation shares</t>
  </si>
  <si>
    <t>Total attendances at GPs and specialists in 2015-16</t>
  </si>
  <si>
    <t xml:space="preserve">Assumed minutes waiting beyond reasonable amount </t>
  </si>
  <si>
    <t>Assumed time spent waiting (minutes)</t>
  </si>
  <si>
    <t>Share of consultations by employed people that are undertaken while on sick leave (assumed)</t>
  </si>
  <si>
    <t>Imputed opportunity cost for non-employed people and employed people who are on sick leave</t>
  </si>
  <si>
    <t>Imputed hourly wage rate*</t>
  </si>
  <si>
    <t>Total (FT&amp;PT) employees hours worked per week</t>
  </si>
  <si>
    <t>Average adult earnings per week (FT&amp;PT) (May 2015 to Nov 2016 -qrtly data)</t>
  </si>
  <si>
    <t>Non-employed people</t>
  </si>
  <si>
    <t>Civilian population &gt;15 years</t>
  </si>
  <si>
    <t>Employed</t>
  </si>
  <si>
    <t>Hours worked in 2015-16 (all employed) '000</t>
  </si>
  <si>
    <t>Hours worked per reference week in 2015-16 (all employed) '000</t>
  </si>
  <si>
    <t xml:space="preserve">The calculations are based on a series of estimates and assumptions, but provide an indicative measure of costs. </t>
  </si>
  <si>
    <t>Estimated costs of wasteful time spent in waiting rooms</t>
  </si>
  <si>
    <t>From Haas and de Abreu Lourenco 2016, The REFinE-PHC Report on Patient Experiences of Primary Care, University of Technology Sydney</t>
  </si>
  <si>
    <t>Source: Medicare Statistics, Australian Department of Health 2017</t>
  </si>
  <si>
    <t>Attendances with specialists</t>
  </si>
  <si>
    <t>Attendances with GPs</t>
  </si>
  <si>
    <t>2015-16</t>
  </si>
  <si>
    <t>Implied shares using ABS data and the above BEACH 15+ share</t>
  </si>
  <si>
    <t>BEACH 15+ share of all consultations</t>
  </si>
  <si>
    <t>ABS 2015-16</t>
  </si>
  <si>
    <t>BEACH 2015-16</t>
  </si>
  <si>
    <t>75+ years</t>
  </si>
  <si>
    <t xml:space="preserve"> 65-74</t>
  </si>
  <si>
    <t xml:space="preserve"> 45-65</t>
  </si>
  <si>
    <t xml:space="preserve"> 25-44</t>
  </si>
  <si>
    <t xml:space="preserve"> 15-24</t>
  </si>
  <si>
    <t>Comparison between the BEACH and ABS GP data for 2015-16 (shares of 15+ consultations by age)</t>
  </si>
  <si>
    <t>Some comparisons</t>
  </si>
  <si>
    <t>Share of total visits for people aged 15+</t>
  </si>
  <si>
    <t xml:space="preserve">Sample number of envounters </t>
  </si>
  <si>
    <t>Estimated numbers of encounters for sample participants</t>
  </si>
  <si>
    <t>Share of total encounters by age group</t>
  </si>
  <si>
    <t xml:space="preserve"> 5-14</t>
  </si>
  <si>
    <t xml:space="preserve"> 1-4</t>
  </si>
  <si>
    <t>&lt;1 year</t>
  </si>
  <si>
    <t xml:space="preserve">Estimated encounters 2015-16 (BEACH data) </t>
  </si>
  <si>
    <t>Released at 11:30 am (Canberra time)Tues 15 Nov 2016</t>
  </si>
  <si>
    <t>Source: ABS 2016, Patient Experiences in Australia: Summary of Findings, 2015–16, Cat. No. 4839.0.</t>
  </si>
  <si>
    <t>Note: Estimated from categorical data in the ABS survey</t>
  </si>
  <si>
    <t>Total persons (population)</t>
  </si>
  <si>
    <t>Visits per capita</t>
  </si>
  <si>
    <t>Estimated number of specialist visits</t>
  </si>
  <si>
    <t>Specialist attendances</t>
  </si>
  <si>
    <t>Share of vists 15+</t>
  </si>
  <si>
    <t>Estimated visits</t>
  </si>
  <si>
    <t xml:space="preserve"> 45-64</t>
  </si>
  <si>
    <t>By aggregated age groups to match BEACH</t>
  </si>
  <si>
    <t>Estimated Visits per capita</t>
  </si>
  <si>
    <t>Estimated number of visits</t>
  </si>
  <si>
    <t>GP attendances</t>
  </si>
  <si>
    <t>Estimated GP and specialist attendance numbers 2015-16 (ABS)</t>
  </si>
  <si>
    <t>Number of hours actually worked in all jobs ('000 h)</t>
  </si>
  <si>
    <t>Employed part-time ('000)</t>
  </si>
  <si>
    <t>Employed full-time ('000)</t>
  </si>
  <si>
    <t>Employed total ('000)</t>
  </si>
  <si>
    <t>All ages</t>
  </si>
  <si>
    <t>ABS 6291.0.55.001 - Labour Force, Australia, Detailed - Electronic Delivery, Feb 201</t>
  </si>
  <si>
    <t xml:space="preserve">  Share of consultations by employed people with sick leave entitlements that are undertaken while NOT on sick leave (assumed)</t>
  </si>
  <si>
    <t xml:space="preserve">  Proportion of employees without leave entitlements in ABS data. Source: ABS Cat. No. 6291.0.55.003 - Labour Force, Australia, Detailed, Quarterly, Table 13. Employed persons by Status in employment of main job and Hours actually worked in all jobs</t>
  </si>
  <si>
    <t xml:space="preserve">  Share of consultations by employed people without sick leave entitlements (based on ABS)</t>
  </si>
  <si>
    <t>Data from Haas et al. 2016</t>
  </si>
  <si>
    <t>Estimated waiting for GP (minutes)</t>
  </si>
  <si>
    <t>Medicare data for waiting times</t>
  </si>
  <si>
    <t>Total non-referred attendances</t>
  </si>
  <si>
    <t>BEACH and ABS attendance data</t>
  </si>
  <si>
    <t xml:space="preserve"> Main scenario calculations</t>
  </si>
  <si>
    <t xml:space="preserve"> Sensitivity scenario calculations</t>
  </si>
  <si>
    <t xml:space="preserve"> Inputs into patient time calculations</t>
  </si>
  <si>
    <t xml:space="preserve"> Average time Haas et al. 2016</t>
  </si>
  <si>
    <t xml:space="preserve"> BEACH &amp; ABS data for GP and specialist attendance</t>
  </si>
  <si>
    <t xml:space="preserve"> Medicare data for waiting times in GP and specialist waiting rooms</t>
  </si>
  <si>
    <t xml:space="preserve"> ABS hours worked by age group</t>
  </si>
  <si>
    <t>Links within spreadsheet:</t>
  </si>
  <si>
    <t>Table 13, adoption of health pathways</t>
  </si>
  <si>
    <t>Tables 14-17, impacts</t>
  </si>
  <si>
    <t>Tables 18-22, costs</t>
  </si>
  <si>
    <t>Table 23, share of health costs</t>
  </si>
  <si>
    <t>of foregone employment for employed</t>
  </si>
  <si>
    <r>
      <rPr>
        <b/>
        <vertAlign val="superscript"/>
        <sz val="9"/>
        <color theme="1"/>
        <rFont val="Arial"/>
        <family val="2"/>
      </rPr>
      <t>b</t>
    </r>
    <r>
      <rPr>
        <sz val="9"/>
        <color theme="1"/>
        <rFont val="Arial"/>
        <family val="2"/>
      </rPr>
      <t xml:space="preserve"> The estimated costs are based on unpublished data provided by the Western Sydney Diabetes 
initiative (pers. comm., 15 March 2017).</t>
    </r>
  </si>
  <si>
    <t>For simplicity, this is calculated as a ratio of the GDP impact of those who are unwell. It represents that voluntary carers will be able to work longer hours given the reduced need for them to care for their unwell dependents. It only includes voluntary carers.</t>
  </si>
  <si>
    <t xml:space="preserve"> National population aged 15+ in poor or fair health</t>
  </si>
  <si>
    <t>Its assumed that the rate of effectiveness remains the same for each cohort, and so does not factor in learning by doing. This would contribute to an under-estimate of the possible gains.</t>
  </si>
  <si>
    <t>Behind the reported estimate of budget savings achieved by Canterbury in Appendix B, SP5</t>
  </si>
  <si>
    <t>Contents of workbook - Health impacts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</si>
</sst>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quot;#,##0;[Red]\-&quot;$&quot;#,##0"/>
    <numFmt numFmtId="44" formatCode="_-&quot;$&quot;* #,##0.00_-;\-&quot;$&quot;* #,##0.00_-;_-&quot;$&quot;* &quot;-&quot;??_-;_-@_-"/>
    <numFmt numFmtId="43" formatCode="_-* #,##0.00_-;\-* #,##0.00_-;_-* &quot;-&quot;??_-;_-@_-"/>
    <numFmt numFmtId="164" formatCode="_-* #,##0_-;\-* #,##0_-;_-* &quot;-&quot;??_-;_-@_-"/>
    <numFmt numFmtId="165" formatCode="0.0"/>
    <numFmt numFmtId="166" formatCode="0.000000"/>
    <numFmt numFmtId="167" formatCode="mmm\-yyyy"/>
    <numFmt numFmtId="168" formatCode="0.0;\-0.0;0.0;@"/>
    <numFmt numFmtId="169" formatCode="&quot;&quot;#,##0.0&quot;&quot;"/>
    <numFmt numFmtId="170" formatCode="#,##0.0"/>
    <numFmt numFmtId="171" formatCode="0.000"/>
    <numFmt numFmtId="172" formatCode="[$$-C09]#,##0.00;[Red]&quot;-&quot;[$$-C09]#,##0.00"/>
    <numFmt numFmtId="173" formatCode="0.0000"/>
    <numFmt numFmtId="174" formatCode="#\ ##0"/>
    <numFmt numFmtId="175" formatCode="0.00;\-0.00;0.00;@"/>
    <numFmt numFmtId="176" formatCode="0.0%"/>
    <numFmt numFmtId="177" formatCode="[Black]&quot;$&quot;#,##0.0;[Red]\(&quot;$&quot;#,##0.0\)"/>
    <numFmt numFmtId="178" formatCode=".\ #;"/>
    <numFmt numFmtId="179" formatCode="#.\ ##0"/>
    <numFmt numFmtId="180" formatCode="#.00\ ##0"/>
    <numFmt numFmtId="181" formatCode="#\ ###\ ##0"/>
    <numFmt numFmtId="182" formatCode="####\ ###\ ##0.#"/>
    <numFmt numFmtId="183" formatCode="_-&quot;$&quot;* #,##0_-;\-&quot;$&quot;* #,##0_-;_-&quot;$&quot;* &quot;-&quot;??_-;_-@_-"/>
  </numFmts>
  <fonts count="112">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10"/>
      <name val="Arial"/>
      <family val="2"/>
    </font>
    <font>
      <sz val="8"/>
      <name val="Arial"/>
      <family val="2"/>
    </font>
    <font>
      <u/>
      <sz val="10"/>
      <color indexed="12"/>
      <name val="Arial"/>
      <family val="2"/>
    </font>
    <font>
      <b/>
      <sz val="8"/>
      <name val="Arial"/>
      <family val="2"/>
    </font>
    <font>
      <sz val="10"/>
      <color theme="1"/>
      <name val="Calibri"/>
      <family val="2"/>
    </font>
    <font>
      <sz val="10"/>
      <name val="Arial"/>
      <family val="2"/>
    </font>
    <font>
      <sz val="8"/>
      <name val="Arial"/>
      <family val="2"/>
    </font>
    <font>
      <u/>
      <sz val="10"/>
      <color indexed="12"/>
      <name val="Arial"/>
      <family val="2"/>
    </font>
    <font>
      <b/>
      <sz val="13"/>
      <color theme="3"/>
      <name val="Calibri"/>
      <family val="2"/>
      <scheme val="minor"/>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name val="Calibri"/>
      <family val="2"/>
    </font>
    <font>
      <i/>
      <sz val="11"/>
      <color indexed="23"/>
      <name val="Calibri"/>
      <family val="2"/>
    </font>
    <font>
      <sz val="11"/>
      <color indexed="17"/>
      <name val="Calibri"/>
      <family val="2"/>
    </font>
    <font>
      <b/>
      <i/>
      <sz val="16"/>
      <color rgb="FF000000"/>
      <name val="Arial"/>
      <family val="2"/>
    </font>
    <font>
      <b/>
      <sz val="15"/>
      <color indexed="56"/>
      <name val="Calibri"/>
      <family val="2"/>
    </font>
    <font>
      <b/>
      <sz val="13"/>
      <color indexed="56"/>
      <name val="Calibri"/>
      <family val="2"/>
    </font>
    <font>
      <b/>
      <sz val="11"/>
      <color indexed="56"/>
      <name val="Calibri"/>
      <family val="2"/>
    </font>
    <font>
      <u/>
      <sz val="10"/>
      <color theme="10"/>
      <name val="Arial"/>
      <family val="2"/>
    </font>
    <font>
      <sz val="11"/>
      <color indexed="62"/>
      <name val="Calibri"/>
      <family val="2"/>
    </font>
    <font>
      <sz val="11"/>
      <color indexed="52"/>
      <name val="Calibri"/>
      <family val="2"/>
    </font>
    <font>
      <sz val="11"/>
      <color indexed="60"/>
      <name val="Calibri"/>
      <family val="2"/>
    </font>
    <font>
      <sz val="11"/>
      <color theme="1"/>
      <name val="Arial"/>
      <family val="2"/>
    </font>
    <font>
      <sz val="10"/>
      <name val="MS Sans Serif"/>
      <family val="2"/>
    </font>
    <font>
      <b/>
      <sz val="11"/>
      <color indexed="63"/>
      <name val="Calibri"/>
      <family val="2"/>
    </font>
    <font>
      <b/>
      <i/>
      <u/>
      <sz val="10"/>
      <color rgb="FF000000"/>
      <name val="Arial"/>
      <family val="2"/>
    </font>
    <font>
      <b/>
      <sz val="18"/>
      <color indexed="56"/>
      <name val="Cambria"/>
      <family val="2"/>
    </font>
    <font>
      <b/>
      <sz val="11"/>
      <color indexed="8"/>
      <name val="Calibri"/>
      <family val="2"/>
    </font>
    <font>
      <sz val="11"/>
      <color indexed="10"/>
      <name val="Calibri"/>
      <family val="2"/>
    </font>
    <font>
      <sz val="9"/>
      <color theme="1"/>
      <name val="Calibri"/>
      <family val="2"/>
      <scheme val="minor"/>
    </font>
    <font>
      <sz val="12"/>
      <color theme="1"/>
      <name val="Times New Roman"/>
      <family val="1"/>
    </font>
    <font>
      <i/>
      <sz val="9"/>
      <color theme="1"/>
      <name val="Arial"/>
      <family val="2"/>
    </font>
    <font>
      <sz val="9"/>
      <color theme="1"/>
      <name val="Arial"/>
      <family val="2"/>
    </font>
    <font>
      <b/>
      <sz val="9"/>
      <color theme="1"/>
      <name val="Arial"/>
      <family val="2"/>
    </font>
    <font>
      <i/>
      <sz val="12"/>
      <color theme="1"/>
      <name val="Times New Roman"/>
      <family val="1"/>
    </font>
    <font>
      <b/>
      <i/>
      <sz val="9"/>
      <color theme="1"/>
      <name val="Arial"/>
      <family val="2"/>
    </font>
    <font>
      <sz val="9"/>
      <name val="Arial"/>
      <family val="2"/>
    </font>
    <font>
      <b/>
      <sz val="9"/>
      <name val="Arial"/>
      <family val="2"/>
    </font>
    <font>
      <sz val="8"/>
      <color theme="1"/>
      <name val="Arial"/>
      <family val="2"/>
    </font>
    <font>
      <b/>
      <sz val="16"/>
      <color rgb="FF0070C0"/>
      <name val="Arial"/>
      <family val="2"/>
    </font>
    <font>
      <b/>
      <sz val="16"/>
      <color rgb="FF7030A0"/>
      <name val="Arial"/>
      <family val="2"/>
    </font>
    <font>
      <b/>
      <sz val="12"/>
      <color theme="1"/>
      <name val="Arial"/>
      <family val="2"/>
    </font>
    <font>
      <b/>
      <sz val="12"/>
      <color rgb="FF7030A0"/>
      <name val="Arial"/>
      <family val="2"/>
    </font>
    <font>
      <b/>
      <sz val="8"/>
      <color theme="1"/>
      <name val="Arial"/>
      <family val="2"/>
    </font>
    <font>
      <b/>
      <sz val="8"/>
      <color rgb="FFFF0000"/>
      <name val="Arial"/>
      <family val="2"/>
    </font>
    <font>
      <i/>
      <sz val="8"/>
      <color theme="1"/>
      <name val="Arial"/>
      <family val="2"/>
    </font>
    <font>
      <b/>
      <i/>
      <sz val="8"/>
      <color theme="1"/>
      <name val="Arial"/>
      <family val="2"/>
    </font>
    <font>
      <b/>
      <sz val="12"/>
      <color rgb="FF0070C0"/>
      <name val="Arial"/>
      <family val="2"/>
    </font>
    <font>
      <u/>
      <sz val="8"/>
      <color theme="1"/>
      <name val="Arial"/>
      <family val="2"/>
    </font>
    <font>
      <b/>
      <sz val="10"/>
      <color theme="1"/>
      <name val="Book Antiqua"/>
      <family val="1"/>
    </font>
    <font>
      <b/>
      <sz val="8"/>
      <color rgb="FF000000"/>
      <name val="Arial"/>
      <family val="2"/>
    </font>
    <font>
      <sz val="8"/>
      <color rgb="FF000000"/>
      <name val="Arial"/>
      <family val="2"/>
    </font>
    <font>
      <i/>
      <sz val="8"/>
      <color rgb="FF000000"/>
      <name val="Arial"/>
      <family val="2"/>
    </font>
    <font>
      <vertAlign val="superscript"/>
      <sz val="8"/>
      <color indexed="8"/>
      <name val="Arial"/>
      <family val="2"/>
    </font>
    <font>
      <b/>
      <sz val="8"/>
      <color indexed="8"/>
      <name val="Arial"/>
      <family val="2"/>
    </font>
    <font>
      <sz val="7"/>
      <color theme="1"/>
      <name val="Arial"/>
      <family val="2"/>
    </font>
    <font>
      <sz val="7"/>
      <color indexed="8"/>
      <name val="Times New Roman"/>
      <family val="1"/>
    </font>
    <font>
      <sz val="7"/>
      <color indexed="8"/>
      <name val="Arial"/>
      <family val="2"/>
    </font>
    <font>
      <i/>
      <sz val="7"/>
      <color theme="1"/>
      <name val="Arial"/>
      <family val="2"/>
    </font>
    <font>
      <i/>
      <sz val="7"/>
      <color indexed="8"/>
      <name val="Arial"/>
      <family val="2"/>
    </font>
    <font>
      <vertAlign val="superscript"/>
      <sz val="10"/>
      <color indexed="8"/>
      <name val="Book Antiqua"/>
      <family val="1"/>
    </font>
    <font>
      <b/>
      <sz val="10"/>
      <color indexed="8"/>
      <name val="Book Antiqua"/>
      <family val="1"/>
    </font>
    <font>
      <sz val="12"/>
      <name val="Arial"/>
      <family val="2"/>
    </font>
    <font>
      <b/>
      <sz val="18"/>
      <color indexed="9"/>
      <name val="Arial"/>
      <family val="2"/>
    </font>
    <font>
      <sz val="12"/>
      <color indexed="9"/>
      <name val="Arial"/>
      <family val="2"/>
    </font>
    <font>
      <b/>
      <sz val="12"/>
      <name val="Arial"/>
      <family val="2"/>
    </font>
    <font>
      <b/>
      <sz val="10"/>
      <name val="Arial"/>
      <family val="2"/>
    </font>
    <font>
      <b/>
      <sz val="8"/>
      <name val="Arial"/>
      <family val="2"/>
    </font>
    <font>
      <i/>
      <sz val="8"/>
      <name val="Arial"/>
      <family val="2"/>
    </font>
    <font>
      <b/>
      <sz val="18"/>
      <color rgb="FFFFFFFF"/>
      <name val="Arial"/>
      <family val="2"/>
    </font>
    <font>
      <sz val="8"/>
      <color rgb="FF0000FF"/>
      <name val="Arial"/>
      <family val="2"/>
    </font>
    <font>
      <b/>
      <sz val="12"/>
      <color rgb="FF000000"/>
      <name val="Arial"/>
      <family val="2"/>
    </font>
    <font>
      <sz val="10"/>
      <color rgb="FF000000"/>
      <name val="Arial"/>
      <family val="2"/>
    </font>
    <font>
      <b/>
      <sz val="10"/>
      <color rgb="FF000000"/>
      <name val="Arial"/>
      <family val="2"/>
    </font>
    <font>
      <sz val="8"/>
      <name val="Microsoft Sans Serif"/>
      <family val="2"/>
    </font>
    <font>
      <sz val="12"/>
      <name val="Arial"/>
      <family val="2"/>
    </font>
    <font>
      <i/>
      <sz val="8"/>
      <name val="FrnkGothITC Bk BT"/>
      <family val="2"/>
    </font>
    <font>
      <u/>
      <sz val="10"/>
      <color indexed="12"/>
      <name val="Tahoma"/>
      <family val="2"/>
    </font>
    <font>
      <sz val="10"/>
      <name val="Tahoma"/>
      <family val="2"/>
    </font>
    <font>
      <sz val="11"/>
      <color rgb="FF000000"/>
      <name val="Calibri"/>
      <family val="2"/>
      <scheme val="minor"/>
    </font>
    <font>
      <b/>
      <sz val="12"/>
      <name val="Arial"/>
      <family val="2"/>
    </font>
    <font>
      <sz val="7"/>
      <color rgb="FF333333"/>
      <name val="Verdana"/>
      <family val="2"/>
    </font>
    <font>
      <b/>
      <sz val="14"/>
      <color rgb="FF0070C0"/>
      <name val="Arial"/>
      <family val="2"/>
    </font>
    <font>
      <b/>
      <sz val="14"/>
      <color rgb="FF7030A0"/>
      <name val="Arial"/>
      <family val="2"/>
    </font>
    <font>
      <sz val="10"/>
      <name val="Arial"/>
    </font>
    <font>
      <sz val="8"/>
      <name val="Arial"/>
    </font>
    <font>
      <u/>
      <sz val="9"/>
      <color theme="10"/>
      <name val="Arial"/>
      <family val="2"/>
    </font>
    <font>
      <b/>
      <sz val="14"/>
      <color theme="1"/>
      <name val="Arial"/>
      <family val="2"/>
    </font>
    <font>
      <b/>
      <vertAlign val="superscript"/>
      <sz val="9"/>
      <color theme="1"/>
      <name val="Arial"/>
      <family val="2"/>
    </font>
    <font>
      <b/>
      <sz val="14"/>
      <color rgb="FF000000"/>
      <name val="Arial"/>
      <family val="2"/>
    </font>
    <font>
      <b/>
      <sz val="14"/>
      <name val="Arial"/>
      <family val="2"/>
    </font>
    <font>
      <sz val="10"/>
      <color indexed="8"/>
      <name val="Arial"/>
      <family val="2"/>
    </font>
    <font>
      <sz val="10"/>
      <color indexed="8"/>
      <name val="Calibri"/>
      <family val="2"/>
    </font>
    <font>
      <i/>
      <sz val="11"/>
      <color indexed="8"/>
      <name val="Calibri"/>
      <family val="2"/>
    </font>
    <font>
      <u/>
      <sz val="11"/>
      <color theme="10"/>
      <name val="Arial"/>
      <family val="2"/>
    </font>
    <font>
      <vertAlign val="superscript"/>
      <sz val="9"/>
      <color theme="1"/>
      <name val="Arial"/>
      <family val="2"/>
    </font>
    <font>
      <sz val="9"/>
      <color indexed="8"/>
      <name val="Arial"/>
      <family val="2"/>
    </font>
    <font>
      <vertAlign val="superscript"/>
      <sz val="9"/>
      <color indexed="8"/>
      <name val="Arial"/>
      <family val="2"/>
    </font>
    <font>
      <u/>
      <sz val="14"/>
      <color theme="10"/>
      <name val="Arial"/>
      <family val="2"/>
    </font>
    <font>
      <sz val="14"/>
      <color theme="1"/>
      <name val="Arial"/>
      <family val="2"/>
    </font>
    <font>
      <b/>
      <sz val="11"/>
      <color theme="1"/>
      <name val="Arial"/>
      <family val="2"/>
    </font>
    <font>
      <b/>
      <sz val="10"/>
      <color theme="1"/>
      <name val="Arial"/>
      <family val="2"/>
    </font>
    <font>
      <i/>
      <sz val="10"/>
      <color theme="1"/>
      <name val="Arial"/>
      <family val="2"/>
    </font>
  </fonts>
  <fills count="4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6" tint="0.59999389629810485"/>
        <bgColor indexed="64"/>
      </patternFill>
    </fill>
    <fill>
      <patternFill patternType="solid">
        <fgColor indexed="58"/>
        <bgColor indexed="64"/>
      </patternFill>
    </fill>
    <fill>
      <patternFill patternType="solid">
        <fgColor rgb="FF336633"/>
        <bgColor rgb="FF336633"/>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59999389629810485"/>
        <bgColor indexed="64"/>
      </patternFill>
    </fill>
  </fills>
  <borders count="27">
    <border>
      <left/>
      <right/>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rgb="FFBFBFBF"/>
      </top>
      <bottom style="medium">
        <color rgb="FFBFBFBF"/>
      </bottom>
      <diagonal/>
    </border>
    <border>
      <left/>
      <right/>
      <top/>
      <bottom style="medium">
        <color rgb="FFBFBFBF"/>
      </bottom>
      <diagonal/>
    </border>
    <border>
      <left/>
      <right/>
      <top style="medium">
        <color rgb="FFBFBFBF"/>
      </top>
      <bottom/>
      <diagonal/>
    </border>
    <border>
      <left/>
      <right/>
      <top style="medium">
        <color indexed="64"/>
      </top>
      <bottom style="medium">
        <color indexed="64"/>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rgb="FFBFBFBF"/>
      </top>
      <bottom style="medium">
        <color rgb="FFBFBFBF"/>
      </bottom>
      <diagonal/>
    </border>
    <border>
      <left/>
      <right style="thin">
        <color indexed="64"/>
      </right>
      <top/>
      <bottom/>
      <diagonal/>
    </border>
  </borders>
  <cellStyleXfs count="4742">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xf numFmtId="0" fontId="5" fillId="0" borderId="0"/>
    <xf numFmtId="0" fontId="7" fillId="0" borderId="0" applyNumberFormat="0" applyFill="0" applyBorder="0" applyAlignment="0" applyProtection="0">
      <alignment vertical="top"/>
      <protection locked="0"/>
    </xf>
    <xf numFmtId="0" fontId="9" fillId="0" borderId="0"/>
    <xf numFmtId="0" fontId="10" fillId="0" borderId="0"/>
    <xf numFmtId="0" fontId="12" fillId="0" borderId="0" applyNumberFormat="0" applyFill="0" applyBorder="0" applyAlignment="0" applyProtection="0">
      <alignment vertical="top"/>
      <protection locked="0"/>
    </xf>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5" fillId="1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5" fillId="1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5" fillId="2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5" fillId="2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5"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5"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5"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5" fillId="2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5"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5"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5"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5"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6" fillId="29"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6" borderId="0" applyNumberFormat="0" applyBorder="0" applyAlignment="0" applyProtection="0"/>
    <xf numFmtId="0" fontId="17" fillId="19" borderId="0" applyNumberFormat="0" applyBorder="0" applyAlignment="0" applyProtection="0"/>
    <xf numFmtId="0" fontId="18" fillId="22" borderId="7" applyNumberFormat="0" applyAlignment="0" applyProtection="0"/>
    <xf numFmtId="0" fontId="19" fillId="37" borderId="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0" fontId="21" fillId="0" borderId="0" applyNumberFormat="0" applyFill="0" applyBorder="0" applyAlignment="0" applyProtection="0"/>
    <xf numFmtId="0" fontId="22" fillId="20" borderId="0" applyNumberFormat="0" applyBorder="0" applyAlignment="0" applyProtection="0"/>
    <xf numFmtId="0" fontId="23" fillId="0" borderId="0" applyNumberFormat="0" applyFill="0" applyBorder="0" applyProtection="0">
      <alignment horizontal="center"/>
    </xf>
    <xf numFmtId="0" fontId="24" fillId="0" borderId="9"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3" fillId="0" borderId="0" applyNumberFormat="0" applyFill="0" applyBorder="0" applyProtection="0">
      <alignment horizontal="center" textRotation="90"/>
    </xf>
    <xf numFmtId="0" fontId="27" fillId="0" borderId="0" applyNumberFormat="0" applyFill="0" applyBorder="0" applyAlignment="0" applyProtection="0"/>
    <xf numFmtId="0" fontId="27" fillId="0" borderId="0" applyNumberFormat="0" applyFill="0" applyBorder="0" applyAlignment="0" applyProtection="0"/>
    <xf numFmtId="0" fontId="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24" borderId="7" applyNumberFormat="0" applyAlignment="0" applyProtection="0"/>
    <xf numFmtId="0" fontId="29" fillId="0" borderId="12" applyNumberFormat="0" applyFill="0" applyAlignment="0" applyProtection="0"/>
    <xf numFmtId="0" fontId="5" fillId="0" borderId="0"/>
    <xf numFmtId="0" fontId="5" fillId="0" borderId="0"/>
    <xf numFmtId="0" fontId="30" fillId="38" borderId="0" applyNumberFormat="0" applyBorder="0" applyAlignment="0" applyProtection="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5" fillId="0" borderId="0"/>
    <xf numFmtId="0" fontId="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20" fillId="0" borderId="0"/>
    <xf numFmtId="0" fontId="1" fillId="0" borderId="0"/>
    <xf numFmtId="0" fontId="1" fillId="0" borderId="0"/>
    <xf numFmtId="0" fontId="6" fillId="0" borderId="0"/>
    <xf numFmtId="0" fontId="5"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32" fillId="0" borderId="0"/>
    <xf numFmtId="0" fontId="32" fillId="0" borderId="0"/>
    <xf numFmtId="0" fontId="5"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5" fillId="0" borderId="0"/>
    <xf numFmtId="0" fontId="1" fillId="0" borderId="0"/>
    <xf numFmtId="0" fontId="32" fillId="0" borderId="0"/>
    <xf numFmtId="0" fontId="1" fillId="0" borderId="0"/>
    <xf numFmtId="0" fontId="1" fillId="0" borderId="0"/>
    <xf numFmtId="0" fontId="6" fillId="0" borderId="0"/>
    <xf numFmtId="0" fontId="32" fillId="0" borderId="0"/>
    <xf numFmtId="0" fontId="32"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6" fillId="0" borderId="0"/>
    <xf numFmtId="0" fontId="1" fillId="0" borderId="0"/>
    <xf numFmtId="0" fontId="1" fillId="0" borderId="0"/>
    <xf numFmtId="0" fontId="1" fillId="0" borderId="0"/>
    <xf numFmtId="0" fontId="1" fillId="0" borderId="0"/>
    <xf numFmtId="0" fontId="14" fillId="0" borderId="0"/>
    <xf numFmtId="0" fontId="14" fillId="0" borderId="0"/>
    <xf numFmtId="0" fontId="5" fillId="0" borderId="0"/>
    <xf numFmtId="0" fontId="5" fillId="0" borderId="0"/>
    <xf numFmtId="0" fontId="5" fillId="0" borderId="0"/>
    <xf numFmtId="0" fontId="14" fillId="0" borderId="0"/>
    <xf numFmtId="0" fontId="5" fillId="0" borderId="0"/>
    <xf numFmtId="0" fontId="5"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5" fillId="0" borderId="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5" fillId="4" borderId="6" applyNumberFormat="0" applyFont="0" applyAlignment="0" applyProtection="0"/>
    <xf numFmtId="0" fontId="1" fillId="4" borderId="6" applyNumberFormat="0" applyFont="0" applyAlignment="0" applyProtection="0"/>
    <xf numFmtId="0" fontId="15"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5" fillId="39" borderId="13" applyNumberFormat="0" applyFont="0" applyAlignment="0" applyProtection="0"/>
    <xf numFmtId="0" fontId="15"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5" fillId="39" borderId="13"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1" fillId="4" borderId="6" applyNumberFormat="0" applyFont="0" applyAlignment="0" applyProtection="0"/>
    <xf numFmtId="0" fontId="33" fillId="22" borderId="14" applyNumberFormat="0" applyAlignment="0" applyProtection="0"/>
    <xf numFmtId="0" fontId="34" fillId="0" borderId="0" applyNumberFormat="0" applyFill="0" applyBorder="0" applyAlignment="0" applyProtection="0"/>
    <xf numFmtId="172" fontId="34" fillId="0" borderId="0" applyFill="0" applyBorder="0" applyAlignment="0" applyProtection="0"/>
    <xf numFmtId="0" fontId="35" fillId="0" borderId="0" applyNumberFormat="0" applyFill="0" applyBorder="0" applyAlignment="0" applyProtection="0"/>
    <xf numFmtId="0" fontId="36" fillId="0" borderId="15" applyNumberFormat="0" applyFill="0" applyAlignment="0" applyProtection="0"/>
    <xf numFmtId="0" fontId="37" fillId="0" borderId="0" applyNumberFormat="0" applyFill="0" applyBorder="0" applyAlignment="0" applyProtection="0"/>
    <xf numFmtId="0" fontId="13" fillId="0" borderId="5" applyNumberFormat="0" applyFill="0" applyAlignment="0" applyProtection="0"/>
    <xf numFmtId="0" fontId="6" fillId="0" borderId="0"/>
    <xf numFmtId="0" fontId="47" fillId="0" borderId="0"/>
    <xf numFmtId="0" fontId="71" fillId="0" borderId="0"/>
    <xf numFmtId="43"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86" fillId="0" borderId="0"/>
    <xf numFmtId="0" fontId="86" fillId="0" borderId="0"/>
    <xf numFmtId="0" fontId="27" fillId="0" borderId="0" applyNumberFormat="0" applyFill="0" applyBorder="0" applyAlignment="0" applyProtection="0"/>
    <xf numFmtId="0" fontId="86"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6" fillId="0" borderId="0"/>
    <xf numFmtId="0" fontId="5" fillId="0" borderId="0"/>
    <xf numFmtId="0" fontId="6" fillId="0" borderId="0"/>
    <xf numFmtId="0" fontId="1" fillId="0" borderId="0"/>
    <xf numFmtId="0" fontId="1" fillId="0" borderId="0"/>
    <xf numFmtId="0" fontId="6" fillId="0" borderId="0"/>
    <xf numFmtId="0" fontId="6" fillId="0" borderId="0"/>
    <xf numFmtId="0" fontId="1" fillId="0" borderId="0"/>
    <xf numFmtId="0" fontId="88" fillId="0" borderId="0"/>
    <xf numFmtId="0" fontId="5" fillId="0" borderId="0"/>
    <xf numFmtId="0" fontId="5" fillId="0" borderId="0"/>
    <xf numFmtId="0" fontId="1" fillId="0" borderId="0"/>
    <xf numFmtId="0" fontId="31" fillId="0" borderId="0"/>
    <xf numFmtId="0" fontId="6" fillId="0" borderId="0"/>
    <xf numFmtId="0" fontId="87" fillId="0" borderId="0"/>
    <xf numFmtId="0" fontId="87" fillId="0" borderId="0"/>
    <xf numFmtId="0" fontId="85" fillId="0" borderId="0">
      <alignment horizontal="center"/>
    </xf>
    <xf numFmtId="0" fontId="85" fillId="0" borderId="0">
      <alignment horizontal="center"/>
    </xf>
    <xf numFmtId="0" fontId="85" fillId="0" borderId="0">
      <alignment horizontal="center"/>
    </xf>
    <xf numFmtId="0" fontId="83" fillId="0" borderId="0">
      <alignment horizontal="left"/>
    </xf>
    <xf numFmtId="0" fontId="83" fillId="0" borderId="0">
      <alignment horizontal="left"/>
    </xf>
    <xf numFmtId="0" fontId="83" fillId="0" borderId="0">
      <alignment horizontal="left"/>
    </xf>
    <xf numFmtId="0" fontId="83" fillId="0" borderId="0">
      <alignment horizontal="center" vertical="center" wrapText="1"/>
    </xf>
    <xf numFmtId="0" fontId="83" fillId="0" borderId="0">
      <alignment horizontal="center"/>
    </xf>
    <xf numFmtId="0" fontId="83" fillId="0" borderId="0">
      <alignment horizontal="center"/>
    </xf>
    <xf numFmtId="0" fontId="83" fillId="0" borderId="0">
      <alignment horizontal="left" vertical="center" wrapText="1"/>
    </xf>
    <xf numFmtId="0" fontId="83" fillId="0" borderId="0">
      <alignment horizontal="center" vertical="center" wrapText="1"/>
    </xf>
    <xf numFmtId="0" fontId="83" fillId="0" borderId="0">
      <alignment horizontal="center" vertical="center" wrapText="1"/>
    </xf>
    <xf numFmtId="0" fontId="6" fillId="0" borderId="0">
      <alignment horizontal="right"/>
    </xf>
    <xf numFmtId="0" fontId="83" fillId="0" borderId="0">
      <alignment horizontal="right"/>
    </xf>
    <xf numFmtId="0" fontId="83" fillId="0" borderId="0"/>
    <xf numFmtId="0" fontId="6" fillId="0" borderId="0">
      <alignment horizontal="left" vertical="center" wrapText="1"/>
    </xf>
    <xf numFmtId="0" fontId="83" fillId="0" borderId="0"/>
    <xf numFmtId="0" fontId="85" fillId="0" borderId="0">
      <alignment horizontal="left"/>
    </xf>
    <xf numFmtId="0" fontId="6" fillId="0" borderId="0">
      <alignment horizontal="right"/>
    </xf>
    <xf numFmtId="0" fontId="83" fillId="0" borderId="0">
      <alignment horizontal="left" vertical="center" wrapText="1"/>
    </xf>
    <xf numFmtId="0" fontId="83" fillId="0" borderId="0">
      <alignment horizontal="left" vertical="center" wrapText="1"/>
    </xf>
    <xf numFmtId="0" fontId="83" fillId="0" borderId="0">
      <alignment horizontal="right"/>
    </xf>
    <xf numFmtId="0" fontId="6" fillId="0" borderId="0">
      <alignment horizontal="left" vertical="center" wrapText="1"/>
    </xf>
    <xf numFmtId="0" fontId="83" fillId="0" borderId="0">
      <alignment horizontal="right"/>
    </xf>
    <xf numFmtId="0" fontId="6" fillId="0" borderId="0">
      <alignment horizontal="right"/>
    </xf>
    <xf numFmtId="0" fontId="83" fillId="0" borderId="0">
      <alignment horizontal="right"/>
    </xf>
    <xf numFmtId="0" fontId="85" fillId="0" borderId="0">
      <alignment horizontal="left"/>
    </xf>
    <xf numFmtId="0" fontId="85" fillId="0" borderId="0">
      <alignment horizontal="left"/>
    </xf>
    <xf numFmtId="0" fontId="14" fillId="0" borderId="0"/>
    <xf numFmtId="0" fontId="8" fillId="0" borderId="0">
      <alignment horizontal="left"/>
    </xf>
    <xf numFmtId="0" fontId="6" fillId="0" borderId="0">
      <alignment horizontal="left"/>
    </xf>
    <xf numFmtId="0" fontId="6" fillId="0" borderId="0">
      <alignment horizontal="center" vertical="center" wrapText="1"/>
    </xf>
    <xf numFmtId="0" fontId="6" fillId="0" borderId="0">
      <alignment horizontal="left" vertical="center" wrapText="1"/>
    </xf>
    <xf numFmtId="0" fontId="93" fillId="0" borderId="0"/>
    <xf numFmtId="0" fontId="15" fillId="0" borderId="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0" fillId="0" borderId="0"/>
    <xf numFmtId="0" fontId="100" fillId="0" borderId="0"/>
    <xf numFmtId="0" fontId="100" fillId="0" borderId="0"/>
    <xf numFmtId="0" fontId="10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0" fontId="15" fillId="39" borderId="13" applyNumberFormat="0" applyFont="0" applyAlignment="0" applyProtection="0"/>
    <xf numFmtId="44" fontId="31" fillId="0" borderId="0" applyFont="0" applyFill="0" applyBorder="0" applyAlignment="0" applyProtection="0"/>
    <xf numFmtId="43" fontId="31" fillId="0" borderId="0" applyFont="0" applyFill="0" applyBorder="0" applyAlignment="0" applyProtection="0"/>
  </cellStyleXfs>
  <cellXfs count="488">
    <xf numFmtId="0" fontId="0" fillId="0" borderId="0" xfId="0"/>
    <xf numFmtId="0" fontId="0" fillId="0" borderId="0" xfId="0" applyBorder="1"/>
    <xf numFmtId="1" fontId="0" fillId="0" borderId="0" xfId="0" applyNumberFormat="1"/>
    <xf numFmtId="9" fontId="0" fillId="0" borderId="0" xfId="1" applyFont="1"/>
    <xf numFmtId="0" fontId="4" fillId="0" borderId="0" xfId="0" applyFont="1"/>
    <xf numFmtId="0" fontId="0" fillId="0" borderId="0" xfId="0" applyFont="1"/>
    <xf numFmtId="167" fontId="11" fillId="0" borderId="0" xfId="9" applyNumberFormat="1" applyFont="1" applyAlignment="1">
      <alignment horizontal="left"/>
    </xf>
    <xf numFmtId="0" fontId="11" fillId="0" borderId="0" xfId="9" applyFont="1" applyAlignment="1">
      <alignment horizontal="right" wrapText="1"/>
    </xf>
    <xf numFmtId="0" fontId="11" fillId="0" borderId="0" xfId="9" applyFont="1" applyAlignment="1">
      <alignment horizontal="right"/>
    </xf>
    <xf numFmtId="0" fontId="3" fillId="0" borderId="0" xfId="5"/>
    <xf numFmtId="0" fontId="0" fillId="0" borderId="0" xfId="0"/>
    <xf numFmtId="0" fontId="2" fillId="0" borderId="0" xfId="0" applyFont="1"/>
    <xf numFmtId="0" fontId="38" fillId="0" borderId="0" xfId="0" applyFont="1"/>
    <xf numFmtId="0" fontId="39" fillId="0" borderId="0" xfId="0" applyFont="1"/>
    <xf numFmtId="0" fontId="40" fillId="0" borderId="16" xfId="0" applyFont="1" applyBorder="1" applyAlignment="1">
      <alignment horizontal="left" vertical="center" wrapText="1"/>
    </xf>
    <xf numFmtId="0" fontId="40" fillId="0" borderId="16" xfId="0" applyFont="1" applyBorder="1" applyAlignment="1">
      <alignment horizontal="right" vertical="center" wrapText="1"/>
    </xf>
    <xf numFmtId="0" fontId="41" fillId="0" borderId="0" xfId="0" applyFont="1" applyAlignment="1">
      <alignment horizontal="left" vertical="center" wrapText="1"/>
    </xf>
    <xf numFmtId="0" fontId="41" fillId="0" borderId="0" xfId="0" applyFont="1" applyAlignment="1">
      <alignment horizontal="right" vertical="center" wrapText="1"/>
    </xf>
    <xf numFmtId="0" fontId="41" fillId="0" borderId="17" xfId="0" applyFont="1" applyBorder="1" applyAlignment="1">
      <alignment horizontal="left" vertical="center" wrapText="1"/>
    </xf>
    <xf numFmtId="0" fontId="42" fillId="0" borderId="0" xfId="0" applyFont="1"/>
    <xf numFmtId="0" fontId="43" fillId="0" borderId="0" xfId="0" applyFont="1"/>
    <xf numFmtId="174" fontId="41" fillId="0" borderId="0" xfId="0" applyNumberFormat="1" applyFont="1" applyAlignment="1">
      <alignment horizontal="right" vertical="center" wrapText="1"/>
    </xf>
    <xf numFmtId="174" fontId="41" fillId="0" borderId="17" xfId="0" applyNumberFormat="1" applyFont="1" applyBorder="1" applyAlignment="1">
      <alignment horizontal="right" vertical="center" wrapText="1"/>
    </xf>
    <xf numFmtId="0" fontId="41" fillId="0" borderId="17" xfId="0" applyFont="1" applyBorder="1" applyAlignment="1">
      <alignment horizontal="right" vertical="center" wrapText="1"/>
    </xf>
    <xf numFmtId="0" fontId="41" fillId="0" borderId="0" xfId="0" quotePrefix="1" applyFont="1" applyAlignment="1">
      <alignment horizontal="right" vertical="center" wrapText="1"/>
    </xf>
    <xf numFmtId="0" fontId="42" fillId="0" borderId="0" xfId="0" applyFont="1" applyAlignment="1">
      <alignment horizontal="left" vertical="center" wrapText="1"/>
    </xf>
    <xf numFmtId="0" fontId="40" fillId="0" borderId="0" xfId="0" applyFont="1"/>
    <xf numFmtId="0" fontId="41" fillId="0" borderId="0" xfId="0" applyFont="1"/>
    <xf numFmtId="171" fontId="41" fillId="0" borderId="17" xfId="0" applyNumberFormat="1" applyFont="1" applyBorder="1" applyAlignment="1">
      <alignment horizontal="right" vertical="center" wrapText="1"/>
    </xf>
    <xf numFmtId="165" fontId="41" fillId="0" borderId="17" xfId="0" applyNumberFormat="1" applyFont="1" applyBorder="1" applyAlignment="1">
      <alignment horizontal="right" vertical="center" wrapText="1"/>
    </xf>
    <xf numFmtId="0" fontId="41" fillId="0" borderId="0" xfId="0" applyFont="1" applyFill="1" applyBorder="1" applyAlignment="1">
      <alignment horizontal="left" vertical="center" wrapText="1"/>
    </xf>
    <xf numFmtId="0" fontId="41" fillId="0" borderId="0" xfId="0" applyFont="1" applyFill="1" applyAlignment="1">
      <alignment horizontal="right"/>
    </xf>
    <xf numFmtId="165" fontId="41" fillId="0" borderId="0" xfId="0" applyNumberFormat="1" applyFont="1" applyFill="1"/>
    <xf numFmtId="0" fontId="41" fillId="0" borderId="0" xfId="0" applyFont="1" applyFill="1"/>
    <xf numFmtId="0" fontId="41" fillId="0" borderId="0" xfId="0" applyFont="1" applyAlignment="1">
      <alignment horizontal="right" vertical="center"/>
    </xf>
    <xf numFmtId="1" fontId="41" fillId="0" borderId="0" xfId="0" applyNumberFormat="1" applyFont="1" applyAlignment="1">
      <alignment horizontal="right" vertical="center" wrapText="1"/>
    </xf>
    <xf numFmtId="1" fontId="41" fillId="0" borderId="0" xfId="0" applyNumberFormat="1" applyFont="1" applyAlignment="1">
      <alignment horizontal="right" vertical="center"/>
    </xf>
    <xf numFmtId="174" fontId="41" fillId="0" borderId="0" xfId="0" applyNumberFormat="1" applyFont="1"/>
    <xf numFmtId="165" fontId="41" fillId="0" borderId="0" xfId="0" applyNumberFormat="1" applyFont="1"/>
    <xf numFmtId="0" fontId="41" fillId="0" borderId="0" xfId="0" applyFont="1" applyBorder="1"/>
    <xf numFmtId="168" fontId="45" fillId="0" borderId="0" xfId="6" applyNumberFormat="1" applyFont="1" applyAlignment="1"/>
    <xf numFmtId="0" fontId="45" fillId="0" borderId="0" xfId="6" applyFont="1" applyAlignment="1">
      <alignment horizontal="left"/>
    </xf>
    <xf numFmtId="17" fontId="41" fillId="0" borderId="0" xfId="0" applyNumberFormat="1" applyFont="1"/>
    <xf numFmtId="169" fontId="45" fillId="0" borderId="0" xfId="0" applyNumberFormat="1" applyFont="1" applyAlignment="1">
      <alignment horizontal="left" wrapText="1"/>
    </xf>
    <xf numFmtId="0" fontId="46" fillId="0" borderId="0" xfId="0" applyFont="1" applyAlignment="1">
      <alignment horizontal="right" wrapText="1"/>
    </xf>
    <xf numFmtId="0" fontId="46" fillId="0" borderId="0" xfId="6" applyFont="1" applyAlignment="1">
      <alignment horizontal="left"/>
    </xf>
    <xf numFmtId="170" fontId="45" fillId="0" borderId="0" xfId="0" applyNumberFormat="1" applyFont="1" applyBorder="1" applyAlignment="1">
      <alignment horizontal="right"/>
    </xf>
    <xf numFmtId="0" fontId="45" fillId="0" borderId="0" xfId="8" applyFont="1" applyBorder="1" applyAlignment="1">
      <alignment horizontal="left" indent="1"/>
    </xf>
    <xf numFmtId="169" fontId="45" fillId="0" borderId="0" xfId="0" applyNumberFormat="1" applyFont="1" applyBorder="1" applyAlignment="1">
      <alignment horizontal="right"/>
    </xf>
    <xf numFmtId="169" fontId="41" fillId="0" borderId="0" xfId="0" applyNumberFormat="1" applyFont="1"/>
    <xf numFmtId="0" fontId="45" fillId="0" borderId="0" xfId="6" applyFont="1" applyAlignment="1">
      <alignment horizontal="left" indent="1"/>
    </xf>
    <xf numFmtId="165" fontId="40" fillId="0" borderId="0" xfId="0" applyNumberFormat="1" applyFont="1"/>
    <xf numFmtId="1" fontId="40" fillId="0" borderId="0" xfId="0" applyNumberFormat="1" applyFont="1"/>
    <xf numFmtId="1" fontId="41" fillId="0" borderId="0" xfId="0" applyNumberFormat="1" applyFont="1"/>
    <xf numFmtId="9" fontId="41" fillId="0" borderId="0" xfId="1" applyFont="1"/>
    <xf numFmtId="165" fontId="42" fillId="0" borderId="0" xfId="0" applyNumberFormat="1" applyFont="1"/>
    <xf numFmtId="1" fontId="42" fillId="0" borderId="0" xfId="0" applyNumberFormat="1" applyFont="1"/>
    <xf numFmtId="164" fontId="42" fillId="0" borderId="0" xfId="4" applyNumberFormat="1" applyFont="1"/>
    <xf numFmtId="0" fontId="11" fillId="0" borderId="0" xfId="9" applyFont="1" applyAlignment="1">
      <alignment wrapText="1"/>
    </xf>
    <xf numFmtId="0" fontId="8" fillId="0" borderId="0" xfId="9" applyFont="1" applyAlignment="1"/>
    <xf numFmtId="0" fontId="11" fillId="0" borderId="0" xfId="9" quotePrefix="1" applyFont="1" applyAlignment="1">
      <alignment horizontal="right"/>
    </xf>
    <xf numFmtId="0" fontId="11" fillId="0" borderId="0" xfId="9" applyFont="1" applyAlignment="1"/>
    <xf numFmtId="167" fontId="8" fillId="0" borderId="0" xfId="9" applyNumberFormat="1" applyFont="1" applyAlignment="1"/>
    <xf numFmtId="167" fontId="11" fillId="0" borderId="0" xfId="9" applyNumberFormat="1" applyFont="1" applyAlignment="1"/>
    <xf numFmtId="168" fontId="11" fillId="0" borderId="0" xfId="9" applyNumberFormat="1" applyFont="1" applyAlignment="1"/>
    <xf numFmtId="175" fontId="11" fillId="0" borderId="0" xfId="9" applyNumberFormat="1" applyFont="1" applyAlignment="1"/>
    <xf numFmtId="0" fontId="41" fillId="0" borderId="0" xfId="0" applyFont="1" applyAlignment="1">
      <alignment horizontal="left" vertical="center" wrapText="1"/>
    </xf>
    <xf numFmtId="0" fontId="41" fillId="0" borderId="17" xfId="0" applyFont="1" applyBorder="1" applyAlignment="1">
      <alignment horizontal="left" vertical="center" wrapText="1"/>
    </xf>
    <xf numFmtId="176" fontId="41" fillId="0" borderId="0" xfId="1" applyNumberFormat="1" applyFont="1"/>
    <xf numFmtId="176" fontId="41" fillId="0" borderId="0" xfId="1" applyNumberFormat="1" applyFont="1" applyAlignment="1">
      <alignment horizontal="right" vertical="center" wrapText="1"/>
    </xf>
    <xf numFmtId="0" fontId="41" fillId="0" borderId="0" xfId="0" applyFont="1" applyFill="1" applyBorder="1" applyAlignment="1">
      <alignment horizontal="left" vertical="center"/>
    </xf>
    <xf numFmtId="0" fontId="40" fillId="0" borderId="0" xfId="0" applyFont="1" applyBorder="1" applyAlignment="1">
      <alignment horizontal="right" vertical="center" wrapText="1"/>
    </xf>
    <xf numFmtId="2" fontId="41" fillId="0" borderId="0" xfId="0" applyNumberFormat="1" applyFont="1"/>
    <xf numFmtId="171" fontId="41" fillId="0" borderId="0" xfId="0" applyNumberFormat="1" applyFont="1"/>
    <xf numFmtId="0" fontId="48" fillId="0" borderId="0" xfId="3761" applyFont="1"/>
    <xf numFmtId="0" fontId="49" fillId="0" borderId="0" xfId="3761" applyFont="1"/>
    <xf numFmtId="0" fontId="47" fillId="0" borderId="0" xfId="3761"/>
    <xf numFmtId="0" fontId="50" fillId="0" borderId="0" xfId="3761" applyFont="1" applyAlignment="1">
      <alignment horizontal="right"/>
    </xf>
    <xf numFmtId="0" fontId="51" fillId="0" borderId="0" xfId="3761" applyFont="1"/>
    <xf numFmtId="0" fontId="52" fillId="0" borderId="0" xfId="3761" applyFont="1" applyAlignment="1">
      <alignment horizontal="right"/>
    </xf>
    <xf numFmtId="0" fontId="52" fillId="0" borderId="0" xfId="3761" applyFont="1"/>
    <xf numFmtId="0" fontId="47" fillId="0" borderId="0" xfId="3761" applyAlignment="1">
      <alignment horizontal="right"/>
    </xf>
    <xf numFmtId="9" fontId="47" fillId="40" borderId="0" xfId="3761" applyNumberFormat="1" applyFill="1"/>
    <xf numFmtId="6" fontId="47" fillId="40" borderId="0" xfId="3761" applyNumberFormat="1" applyFill="1"/>
    <xf numFmtId="0" fontId="47" fillId="40" borderId="0" xfId="3761" applyFill="1"/>
    <xf numFmtId="9" fontId="53" fillId="0" borderId="0" xfId="3761" applyNumberFormat="1" applyFont="1"/>
    <xf numFmtId="0" fontId="52" fillId="41" borderId="0" xfId="3761" applyFont="1" applyFill="1"/>
    <xf numFmtId="0" fontId="47" fillId="41" borderId="0" xfId="3761" applyFill="1"/>
    <xf numFmtId="0" fontId="54" fillId="41" borderId="3" xfId="3761" applyFont="1" applyFill="1" applyBorder="1" applyAlignment="1">
      <alignment horizontal="right"/>
    </xf>
    <xf numFmtId="0" fontId="55" fillId="41" borderId="3" xfId="3761" applyFont="1" applyFill="1" applyBorder="1" applyAlignment="1">
      <alignment horizontal="right"/>
    </xf>
    <xf numFmtId="0" fontId="54" fillId="0" borderId="3" xfId="3761" applyFont="1" applyBorder="1"/>
    <xf numFmtId="0" fontId="47" fillId="41" borderId="0" xfId="3761" applyFill="1" applyAlignment="1">
      <alignment horizontal="right"/>
    </xf>
    <xf numFmtId="0" fontId="52" fillId="41" borderId="0" xfId="3761" applyFont="1" applyFill="1" applyAlignment="1">
      <alignment horizontal="right"/>
    </xf>
    <xf numFmtId="0" fontId="56" fillId="0" borderId="0" xfId="3761" applyFont="1"/>
    <xf numFmtId="177" fontId="47" fillId="41" borderId="0" xfId="3761" applyNumberFormat="1" applyFill="1"/>
    <xf numFmtId="177" fontId="52" fillId="41" borderId="0" xfId="3761" applyNumberFormat="1" applyFont="1" applyFill="1"/>
    <xf numFmtId="0" fontId="54" fillId="0" borderId="0" xfId="3761" applyFont="1"/>
    <xf numFmtId="0" fontId="41" fillId="0" borderId="0" xfId="0" applyFont="1" applyAlignment="1">
      <alignment horizontal="left" vertical="center" wrapText="1"/>
    </xf>
    <xf numFmtId="0" fontId="58" fillId="2" borderId="0" xfId="0" applyFont="1" applyFill="1" applyAlignment="1">
      <alignment vertical="center"/>
    </xf>
    <xf numFmtId="0" fontId="0" fillId="2" borderId="0" xfId="0" applyFill="1"/>
    <xf numFmtId="0" fontId="59" fillId="2" borderId="1" xfId="0" applyFont="1" applyFill="1" applyBorder="1" applyAlignment="1">
      <alignment horizontal="right" vertical="center" wrapText="1"/>
    </xf>
    <xf numFmtId="0" fontId="59" fillId="2" borderId="0" xfId="0" applyFont="1" applyFill="1" applyAlignment="1">
      <alignment horizontal="right" vertical="center" wrapText="1"/>
    </xf>
    <xf numFmtId="0" fontId="59" fillId="2" borderId="0" xfId="0" applyFont="1" applyFill="1" applyAlignment="1">
      <alignment horizontal="right" wrapText="1"/>
    </xf>
    <xf numFmtId="0" fontId="59" fillId="2" borderId="1" xfId="0" applyFont="1" applyFill="1" applyBorder="1" applyAlignment="1">
      <alignment horizontal="right" wrapText="1"/>
    </xf>
    <xf numFmtId="0" fontId="59" fillId="2" borderId="20" xfId="0" applyFont="1" applyFill="1" applyBorder="1" applyAlignment="1">
      <alignment vertical="center" wrapText="1"/>
    </xf>
    <xf numFmtId="0" fontId="60" fillId="2" borderId="0" xfId="0" applyFont="1" applyFill="1" applyAlignment="1">
      <alignment vertical="center" wrapText="1"/>
    </xf>
    <xf numFmtId="3" fontId="60" fillId="2" borderId="0" xfId="0" applyNumberFormat="1" applyFont="1" applyFill="1" applyAlignment="1">
      <alignment horizontal="right" vertical="center" wrapText="1"/>
    </xf>
    <xf numFmtId="0" fontId="60" fillId="2" borderId="0" xfId="0" applyFont="1" applyFill="1" applyAlignment="1">
      <alignment horizontal="right" vertical="center" wrapText="1"/>
    </xf>
    <xf numFmtId="0" fontId="61" fillId="2" borderId="0" xfId="0" applyFont="1" applyFill="1" applyAlignment="1">
      <alignment vertical="center" wrapText="1"/>
    </xf>
    <xf numFmtId="3" fontId="61" fillId="2" borderId="0" xfId="0" applyNumberFormat="1" applyFont="1" applyFill="1" applyAlignment="1">
      <alignment horizontal="right" vertical="center" wrapText="1"/>
    </xf>
    <xf numFmtId="0" fontId="61" fillId="2" borderId="0" xfId="0" applyFont="1" applyFill="1" applyAlignment="1">
      <alignment horizontal="right" vertical="center" wrapText="1"/>
    </xf>
    <xf numFmtId="165" fontId="61" fillId="2" borderId="0" xfId="0" applyNumberFormat="1" applyFont="1" applyFill="1" applyAlignment="1">
      <alignment horizontal="right" vertical="center" wrapText="1"/>
    </xf>
    <xf numFmtId="0" fontId="59" fillId="2" borderId="0" xfId="0" applyFont="1" applyFill="1" applyAlignment="1">
      <alignment vertical="center" wrapText="1"/>
    </xf>
    <xf numFmtId="165" fontId="60" fillId="2" borderId="0" xfId="0" applyNumberFormat="1" applyFont="1" applyFill="1" applyAlignment="1">
      <alignment horizontal="right" vertical="center" wrapText="1"/>
    </xf>
    <xf numFmtId="3" fontId="59" fillId="2" borderId="0" xfId="0" applyNumberFormat="1" applyFont="1" applyFill="1" applyAlignment="1">
      <alignment horizontal="right" vertical="center" wrapText="1"/>
    </xf>
    <xf numFmtId="0" fontId="59" fillId="2" borderId="2" xfId="0" applyFont="1" applyFill="1" applyBorder="1" applyAlignment="1">
      <alignment vertical="center" wrapText="1"/>
    </xf>
    <xf numFmtId="0" fontId="59" fillId="2" borderId="2" xfId="0" applyFont="1" applyFill="1" applyBorder="1" applyAlignment="1">
      <alignment horizontal="right" vertical="center" wrapText="1"/>
    </xf>
    <xf numFmtId="165" fontId="59" fillId="2" borderId="2" xfId="0" applyNumberFormat="1" applyFont="1" applyFill="1" applyBorder="1" applyAlignment="1">
      <alignment horizontal="right" vertical="center" wrapText="1"/>
    </xf>
    <xf numFmtId="0" fontId="67" fillId="2" borderId="0" xfId="0" applyFont="1" applyFill="1" applyAlignment="1">
      <alignment horizontal="left" vertical="center"/>
    </xf>
    <xf numFmtId="0" fontId="67" fillId="2" borderId="0" xfId="0" applyFont="1" applyFill="1" applyAlignment="1">
      <alignment vertical="center"/>
    </xf>
    <xf numFmtId="0" fontId="59" fillId="2" borderId="20" xfId="0" applyFont="1" applyFill="1" applyBorder="1" applyAlignment="1">
      <alignment horizontal="center" vertical="center" wrapText="1"/>
    </xf>
    <xf numFmtId="0" fontId="59" fillId="2" borderId="21" xfId="0" applyFont="1" applyFill="1" applyBorder="1" applyAlignment="1">
      <alignment vertical="center" wrapText="1"/>
    </xf>
    <xf numFmtId="0" fontId="59" fillId="2" borderId="21" xfId="0" applyFont="1" applyFill="1" applyBorder="1" applyAlignment="1">
      <alignment horizontal="right" vertical="center" wrapText="1"/>
    </xf>
    <xf numFmtId="0" fontId="59" fillId="2" borderId="22" xfId="0" applyFont="1" applyFill="1" applyBorder="1" applyAlignment="1">
      <alignment horizontal="right" vertical="center" wrapText="1"/>
    </xf>
    <xf numFmtId="0" fontId="60" fillId="2" borderId="0" xfId="0" applyFont="1" applyFill="1" applyBorder="1" applyAlignment="1">
      <alignment vertical="center" wrapText="1"/>
    </xf>
    <xf numFmtId="3" fontId="60" fillId="2" borderId="0" xfId="0" applyNumberFormat="1" applyFont="1" applyFill="1" applyBorder="1" applyAlignment="1">
      <alignment horizontal="right" vertical="center" wrapText="1"/>
    </xf>
    <xf numFmtId="0" fontId="60" fillId="2" borderId="0" xfId="0" applyFont="1" applyFill="1" applyBorder="1" applyAlignment="1">
      <alignment horizontal="right" vertical="center" wrapText="1"/>
    </xf>
    <xf numFmtId="3" fontId="59" fillId="2" borderId="21" xfId="0" applyNumberFormat="1" applyFont="1" applyFill="1" applyBorder="1" applyAlignment="1">
      <alignment horizontal="right" vertical="center" wrapText="1"/>
    </xf>
    <xf numFmtId="0" fontId="64" fillId="2" borderId="0" xfId="0" applyFont="1" applyFill="1" applyAlignment="1">
      <alignment horizontal="left" vertical="center"/>
    </xf>
    <xf numFmtId="0" fontId="72" fillId="42" borderId="0" xfId="3762" applyNumberFormat="1" applyFont="1" applyFill="1" applyAlignment="1">
      <alignment horizontal="left" vertical="center"/>
    </xf>
    <xf numFmtId="0" fontId="73" fillId="42" borderId="0" xfId="3762" applyNumberFormat="1" applyFont="1" applyFill="1" applyAlignment="1"/>
    <xf numFmtId="0" fontId="71" fillId="0" borderId="0" xfId="3762" applyNumberFormat="1" applyFont="1" applyAlignment="1"/>
    <xf numFmtId="0" fontId="74" fillId="0" borderId="0" xfId="3762" applyNumberFormat="1" applyFont="1" applyAlignment="1">
      <alignment horizontal="left"/>
    </xf>
    <xf numFmtId="0" fontId="10" fillId="0" borderId="0" xfId="3762" applyNumberFormat="1" applyFont="1" applyAlignment="1">
      <alignment horizontal="left"/>
    </xf>
    <xf numFmtId="0" fontId="75" fillId="0" borderId="0" xfId="3762" applyNumberFormat="1" applyFont="1" applyAlignment="1">
      <alignment horizontal="left"/>
    </xf>
    <xf numFmtId="0" fontId="11" fillId="0" borderId="0" xfId="3762" applyNumberFormat="1" applyFont="1" applyAlignment="1">
      <alignment horizontal="left" wrapText="1"/>
    </xf>
    <xf numFmtId="0" fontId="76" fillId="0" borderId="0" xfId="3762" applyNumberFormat="1" applyFont="1" applyAlignment="1">
      <alignment horizontal="centerContinuous" wrapText="1"/>
    </xf>
    <xf numFmtId="0" fontId="71" fillId="0" borderId="0" xfId="3762" applyNumberFormat="1" applyFont="1" applyAlignment="1">
      <alignment horizontal="centerContinuous" wrapText="1"/>
    </xf>
    <xf numFmtId="0" fontId="76" fillId="0" borderId="0" xfId="3762" applyNumberFormat="1" applyFont="1" applyAlignment="1">
      <alignment horizontal="right" wrapText="1"/>
    </xf>
    <xf numFmtId="0" fontId="11" fillId="0" borderId="0" xfId="3762" applyNumberFormat="1" applyFont="1" applyAlignment="1">
      <alignment horizontal="right" wrapText="1"/>
    </xf>
    <xf numFmtId="0" fontId="76" fillId="0" borderId="0" xfId="3762" applyNumberFormat="1" applyFont="1" applyAlignment="1">
      <alignment horizontal="left"/>
    </xf>
    <xf numFmtId="0" fontId="11" fillId="0" borderId="0" xfId="3762" applyNumberFormat="1" applyFont="1" applyAlignment="1">
      <alignment horizontal="left"/>
    </xf>
    <xf numFmtId="0" fontId="77" fillId="0" borderId="0" xfId="3762" applyNumberFormat="1" applyFont="1" applyAlignment="1">
      <alignment horizontal="left"/>
    </xf>
    <xf numFmtId="0" fontId="77" fillId="0" borderId="0" xfId="3762" applyNumberFormat="1" applyFont="1" applyAlignment="1">
      <alignment horizontal="right" wrapText="1"/>
    </xf>
    <xf numFmtId="0" fontId="71" fillId="0" borderId="0" xfId="3762"/>
    <xf numFmtId="0" fontId="31" fillId="0" borderId="0" xfId="3105"/>
    <xf numFmtId="0" fontId="79" fillId="0" borderId="0" xfId="3105" applyFont="1" applyAlignment="1">
      <alignment horizontal="left"/>
    </xf>
    <xf numFmtId="0" fontId="80" fillId="0" borderId="0" xfId="3105" applyFont="1" applyAlignment="1">
      <alignment horizontal="left"/>
    </xf>
    <xf numFmtId="0" fontId="81" fillId="0" borderId="0" xfId="3105" applyFont="1" applyAlignment="1">
      <alignment horizontal="left"/>
    </xf>
    <xf numFmtId="0" fontId="82" fillId="0" borderId="0" xfId="3105" applyFont="1" applyAlignment="1">
      <alignment horizontal="left"/>
    </xf>
    <xf numFmtId="0" fontId="60" fillId="0" borderId="0" xfId="3105" applyFont="1" applyAlignment="1">
      <alignment horizontal="left" wrapText="1"/>
    </xf>
    <xf numFmtId="0" fontId="59" fillId="0" borderId="0" xfId="3105" applyFont="1" applyAlignment="1">
      <alignment horizontal="right" wrapText="1"/>
    </xf>
    <xf numFmtId="0" fontId="60" fillId="0" borderId="0" xfId="3105" applyFont="1" applyAlignment="1">
      <alignment horizontal="left"/>
    </xf>
    <xf numFmtId="0" fontId="60" fillId="0" borderId="0" xfId="3105" applyFont="1" applyAlignment="1">
      <alignment horizontal="left" indent="1"/>
    </xf>
    <xf numFmtId="170" fontId="60" fillId="0" borderId="0" xfId="3105" applyNumberFormat="1" applyFont="1" applyAlignment="1">
      <alignment horizontal="right"/>
    </xf>
    <xf numFmtId="0" fontId="59" fillId="0" borderId="0" xfId="3105" applyFont="1" applyAlignment="1">
      <alignment horizontal="left" indent="1"/>
    </xf>
    <xf numFmtId="170" fontId="59" fillId="0" borderId="0" xfId="3105" applyNumberFormat="1" applyFont="1" applyAlignment="1">
      <alignment horizontal="right"/>
    </xf>
    <xf numFmtId="4" fontId="60" fillId="0" borderId="0" xfId="3105" applyNumberFormat="1" applyFont="1" applyAlignment="1">
      <alignment horizontal="right"/>
    </xf>
    <xf numFmtId="4" fontId="59" fillId="0" borderId="0" xfId="3105" applyNumberFormat="1" applyFont="1" applyAlignment="1">
      <alignment horizontal="right"/>
    </xf>
    <xf numFmtId="2" fontId="41" fillId="0" borderId="0" xfId="0" applyNumberFormat="1" applyFont="1" applyAlignment="1">
      <alignment horizontal="right" vertical="center" wrapText="1"/>
    </xf>
    <xf numFmtId="171" fontId="41" fillId="0" borderId="0" xfId="0" applyNumberFormat="1" applyFont="1" applyAlignment="1">
      <alignment horizontal="right" vertical="center" wrapText="1"/>
    </xf>
    <xf numFmtId="0" fontId="0" fillId="0" borderId="0" xfId="0"/>
    <xf numFmtId="0" fontId="41" fillId="0" borderId="0" xfId="0" applyFont="1" applyAlignment="1">
      <alignment horizontal="left" vertical="center" wrapText="1"/>
    </xf>
    <xf numFmtId="0" fontId="41" fillId="0" borderId="0" xfId="0" applyFont="1" applyAlignment="1">
      <alignment horizontal="right" vertical="center" wrapText="1"/>
    </xf>
    <xf numFmtId="0" fontId="40" fillId="0" borderId="0" xfId="0" applyFont="1" applyBorder="1" applyAlignment="1">
      <alignment horizontal="left" vertical="center" wrapText="1"/>
    </xf>
    <xf numFmtId="0" fontId="41" fillId="0" borderId="0" xfId="0" applyFont="1" applyAlignment="1">
      <alignment horizontal="right" vertical="center" wrapText="1"/>
    </xf>
    <xf numFmtId="0" fontId="6" fillId="0" borderId="0" xfId="9" applyFont="1" applyAlignment="1">
      <alignment wrapText="1"/>
    </xf>
    <xf numFmtId="0" fontId="6" fillId="0" borderId="0" xfId="9" applyFont="1" applyAlignment="1">
      <alignment horizontal="right" wrapText="1"/>
    </xf>
    <xf numFmtId="0" fontId="6" fillId="0" borderId="0" xfId="9" applyFont="1" applyAlignment="1">
      <alignment horizontal="right"/>
    </xf>
    <xf numFmtId="0" fontId="6" fillId="0" borderId="0" xfId="9" applyFont="1" applyAlignment="1"/>
    <xf numFmtId="167" fontId="6" fillId="0" borderId="0" xfId="9" applyNumberFormat="1" applyFont="1" applyAlignment="1"/>
    <xf numFmtId="167" fontId="6" fillId="0" borderId="0" xfId="9" applyNumberFormat="1" applyFont="1" applyAlignment="1">
      <alignment horizontal="left"/>
    </xf>
    <xf numFmtId="175" fontId="6" fillId="0" borderId="0" xfId="9" applyNumberFormat="1" applyFont="1" applyAlignment="1"/>
    <xf numFmtId="49" fontId="89" fillId="0" borderId="0" xfId="0" applyNumberFormat="1" applyFont="1" applyAlignment="1">
      <alignment horizontal="left"/>
    </xf>
    <xf numFmtId="0" fontId="6" fillId="0" borderId="0" xfId="0" applyFont="1" applyAlignment="1">
      <alignment horizontal="left"/>
    </xf>
    <xf numFmtId="0" fontId="14" fillId="0" borderId="0" xfId="3840"/>
    <xf numFmtId="0" fontId="8" fillId="0" borderId="0" xfId="3841">
      <alignment horizontal="left"/>
    </xf>
    <xf numFmtId="0" fontId="90" fillId="0" borderId="0" xfId="3105" applyFont="1"/>
    <xf numFmtId="0" fontId="6" fillId="0" borderId="23" xfId="3842" applyBorder="1">
      <alignment horizontal="left"/>
    </xf>
    <xf numFmtId="0" fontId="6" fillId="0" borderId="24" xfId="3843" applyBorder="1">
      <alignment horizontal="center" vertical="center" wrapText="1"/>
    </xf>
    <xf numFmtId="0" fontId="6" fillId="0" borderId="0" xfId="3844">
      <alignment horizontal="left" vertical="center" wrapText="1"/>
    </xf>
    <xf numFmtId="0" fontId="6" fillId="0" borderId="3" xfId="3844" applyBorder="1">
      <alignment horizontal="left" vertical="center" wrapText="1"/>
    </xf>
    <xf numFmtId="165" fontId="6" fillId="0" borderId="3" xfId="3824" applyNumberFormat="1" applyBorder="1">
      <alignment horizontal="right"/>
    </xf>
    <xf numFmtId="0" fontId="6" fillId="17" borderId="0" xfId="9" applyFont="1" applyFill="1" applyAlignment="1"/>
    <xf numFmtId="165" fontId="6" fillId="0" borderId="0" xfId="3824" applyNumberFormat="1" applyFill="1">
      <alignment horizontal="right"/>
    </xf>
    <xf numFmtId="165" fontId="6" fillId="17" borderId="0" xfId="3824" applyNumberFormat="1" applyFill="1">
      <alignment horizontal="right"/>
    </xf>
    <xf numFmtId="0" fontId="41" fillId="0" borderId="0" xfId="0" applyFont="1" applyAlignment="1">
      <alignment horizontal="right" vertical="center" wrapText="1"/>
    </xf>
    <xf numFmtId="173" fontId="41" fillId="0" borderId="0" xfId="0" applyNumberFormat="1" applyFont="1" applyAlignment="1">
      <alignment horizontal="right" vertical="center" wrapText="1"/>
    </xf>
    <xf numFmtId="0" fontId="91" fillId="0" borderId="0" xfId="3761" applyFont="1"/>
    <xf numFmtId="0" fontId="92" fillId="0" borderId="0" xfId="3761" applyFont="1"/>
    <xf numFmtId="174" fontId="41" fillId="0" borderId="0" xfId="0" applyNumberFormat="1" applyFont="1" applyBorder="1" applyAlignment="1">
      <alignment horizontal="right" vertical="center" wrapText="1"/>
    </xf>
    <xf numFmtId="0" fontId="41" fillId="0" borderId="0" xfId="0" applyFont="1" applyAlignment="1">
      <alignment horizontal="left" vertical="center" wrapText="1"/>
    </xf>
    <xf numFmtId="0" fontId="41" fillId="0" borderId="0" xfId="0" applyFont="1" applyAlignment="1">
      <alignment horizontal="right" vertical="center" wrapText="1"/>
    </xf>
    <xf numFmtId="0" fontId="40" fillId="0" borderId="18" xfId="0" applyFont="1" applyBorder="1" applyAlignment="1">
      <alignment horizontal="center" vertical="center" wrapText="1"/>
    </xf>
    <xf numFmtId="0" fontId="40" fillId="0" borderId="18" xfId="0" applyFont="1" applyBorder="1" applyAlignment="1">
      <alignment horizontal="left" vertical="center" wrapText="1"/>
    </xf>
    <xf numFmtId="0" fontId="41" fillId="0" borderId="17" xfId="0" applyFont="1" applyBorder="1" applyAlignment="1">
      <alignment horizontal="left" vertical="center" wrapText="1"/>
    </xf>
    <xf numFmtId="0" fontId="41" fillId="0" borderId="17" xfId="0" applyFont="1" applyBorder="1" applyAlignment="1">
      <alignment horizontal="right" vertical="center" wrapText="1"/>
    </xf>
    <xf numFmtId="0" fontId="41" fillId="0" borderId="0" xfId="0" applyFont="1" applyAlignment="1">
      <alignment horizontal="left" vertical="center" wrapText="1"/>
    </xf>
    <xf numFmtId="0" fontId="41" fillId="0" borderId="0" xfId="0" applyFont="1" applyAlignment="1">
      <alignment horizontal="right" vertical="center" wrapText="1"/>
    </xf>
    <xf numFmtId="0" fontId="41" fillId="0" borderId="17" xfId="0" applyFont="1" applyBorder="1" applyAlignment="1">
      <alignment horizontal="left" vertical="center" wrapText="1"/>
    </xf>
    <xf numFmtId="174" fontId="41" fillId="0" borderId="17" xfId="0" applyNumberFormat="1" applyFont="1" applyBorder="1"/>
    <xf numFmtId="0" fontId="40" fillId="0" borderId="16" xfId="0" applyFont="1" applyBorder="1" applyAlignment="1">
      <alignment vertical="center" wrapText="1"/>
    </xf>
    <xf numFmtId="0" fontId="40" fillId="0" borderId="16" xfId="0" applyFont="1" applyBorder="1" applyAlignment="1">
      <alignment horizontal="right" vertical="top" wrapText="1"/>
    </xf>
    <xf numFmtId="168" fontId="94" fillId="0" borderId="0" xfId="3845" applyNumberFormat="1" applyFont="1" applyAlignment="1"/>
    <xf numFmtId="167" fontId="94" fillId="0" borderId="0" xfId="3845" applyNumberFormat="1" applyFont="1" applyAlignment="1">
      <alignment horizontal="left"/>
    </xf>
    <xf numFmtId="0" fontId="94" fillId="0" borderId="0" xfId="3845" applyFont="1" applyAlignment="1">
      <alignment horizontal="right"/>
    </xf>
    <xf numFmtId="0" fontId="8" fillId="0" borderId="0" xfId="3845" applyFont="1" applyAlignment="1"/>
    <xf numFmtId="0" fontId="94" fillId="0" borderId="0" xfId="3845" applyFont="1" applyAlignment="1"/>
    <xf numFmtId="167" fontId="94" fillId="0" borderId="0" xfId="3845" applyNumberFormat="1" applyFont="1" applyAlignment="1"/>
    <xf numFmtId="167" fontId="8" fillId="0" borderId="0" xfId="3845" applyNumberFormat="1" applyFont="1" applyAlignment="1"/>
    <xf numFmtId="0" fontId="94" fillId="0" borderId="0" xfId="3845" quotePrefix="1" applyFont="1" applyAlignment="1">
      <alignment horizontal="right"/>
    </xf>
    <xf numFmtId="0" fontId="94" fillId="0" borderId="0" xfId="3845" applyFont="1" applyAlignment="1">
      <alignment horizontal="right" wrapText="1"/>
    </xf>
    <xf numFmtId="0" fontId="94" fillId="0" borderId="0" xfId="3845" applyFont="1" applyAlignment="1">
      <alignment wrapText="1"/>
    </xf>
    <xf numFmtId="0" fontId="93" fillId="0" borderId="0" xfId="3845"/>
    <xf numFmtId="0" fontId="40" fillId="0" borderId="17" xfId="0" applyFont="1" applyBorder="1" applyAlignment="1">
      <alignment horizontal="left" vertical="center" wrapText="1"/>
    </xf>
    <xf numFmtId="0" fontId="41" fillId="0" borderId="18" xfId="0" applyFont="1" applyBorder="1" applyAlignment="1">
      <alignment horizontal="left" vertical="center" wrapText="1"/>
    </xf>
    <xf numFmtId="0" fontId="41" fillId="0" borderId="0" xfId="0" applyFont="1" applyAlignment="1">
      <alignment horizontal="left" vertical="center" wrapText="1"/>
    </xf>
    <xf numFmtId="0" fontId="41" fillId="0" borderId="17" xfId="0" applyFont="1" applyBorder="1" applyAlignment="1">
      <alignment horizontal="left" vertical="center" wrapText="1"/>
    </xf>
    <xf numFmtId="2" fontId="41" fillId="0" borderId="0" xfId="1" applyNumberFormat="1" applyFont="1"/>
    <xf numFmtId="0" fontId="40" fillId="0" borderId="0" xfId="0" applyFont="1" applyAlignment="1">
      <alignment wrapText="1"/>
    </xf>
    <xf numFmtId="0" fontId="41" fillId="0" borderId="0" xfId="0" applyFont="1" applyAlignment="1">
      <alignment wrapText="1"/>
    </xf>
    <xf numFmtId="0" fontId="95" fillId="0" borderId="0" xfId="5" applyFont="1"/>
    <xf numFmtId="173" fontId="41" fillId="0" borderId="0" xfId="0" applyNumberFormat="1" applyFont="1"/>
    <xf numFmtId="166" fontId="41" fillId="0" borderId="0" xfId="0" applyNumberFormat="1" applyFont="1"/>
    <xf numFmtId="3" fontId="41" fillId="0" borderId="0" xfId="0" applyNumberFormat="1" applyFont="1"/>
    <xf numFmtId="0" fontId="41" fillId="0" borderId="17" xfId="0" applyFont="1" applyBorder="1"/>
    <xf numFmtId="1" fontId="41" fillId="0" borderId="17" xfId="0" applyNumberFormat="1" applyFont="1" applyBorder="1"/>
    <xf numFmtId="17" fontId="41" fillId="0" borderId="0" xfId="0" applyNumberFormat="1" applyFont="1" applyAlignment="1">
      <alignment wrapText="1"/>
    </xf>
    <xf numFmtId="0" fontId="40" fillId="0" borderId="0" xfId="0" applyFont="1" applyAlignment="1">
      <alignment horizontal="right"/>
    </xf>
    <xf numFmtId="3" fontId="40" fillId="0" borderId="0" xfId="0" applyNumberFormat="1" applyFont="1" applyAlignment="1">
      <alignment horizontal="right"/>
    </xf>
    <xf numFmtId="0" fontId="41" fillId="0" borderId="0" xfId="0" applyFont="1" applyAlignment="1">
      <alignment horizontal="right"/>
    </xf>
    <xf numFmtId="165" fontId="41" fillId="0" borderId="0" xfId="0" applyNumberFormat="1" applyFont="1" applyAlignment="1">
      <alignment horizontal="right"/>
    </xf>
    <xf numFmtId="0" fontId="41" fillId="0" borderId="0" xfId="0" applyFont="1" applyAlignment="1">
      <alignment horizontal="right" vertical="center" wrapText="1"/>
    </xf>
    <xf numFmtId="0" fontId="41"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17" xfId="0" applyFont="1" applyBorder="1" applyAlignment="1">
      <alignment horizontal="right" vertical="center" wrapText="1"/>
    </xf>
    <xf numFmtId="0" fontId="41" fillId="0" borderId="0" xfId="0" quotePrefix="1" applyFont="1" applyAlignment="1">
      <alignment horizontal="left" vertical="center" wrapText="1"/>
    </xf>
    <xf numFmtId="0" fontId="40" fillId="0" borderId="0" xfId="0" quotePrefix="1" applyFont="1" applyAlignment="1">
      <alignment horizontal="left" vertical="center" wrapText="1"/>
    </xf>
    <xf numFmtId="0" fontId="40" fillId="0" borderId="17" xfId="0" quotePrefix="1" applyFont="1" applyBorder="1" applyAlignment="1">
      <alignment horizontal="left" vertical="center" wrapText="1"/>
    </xf>
    <xf numFmtId="0" fontId="40" fillId="0" borderId="0" xfId="0" applyFont="1" applyAlignment="1">
      <alignment horizontal="left" vertical="center" wrapText="1"/>
    </xf>
    <xf numFmtId="0" fontId="41" fillId="0" borderId="0" xfId="0" applyFont="1" applyFill="1" applyAlignment="1">
      <alignment horizontal="left" vertical="center" wrapText="1"/>
    </xf>
    <xf numFmtId="0" fontId="41" fillId="0" borderId="0" xfId="0" applyFont="1" applyBorder="1" applyAlignment="1">
      <alignment horizontal="left" vertical="center" wrapText="1"/>
    </xf>
    <xf numFmtId="0" fontId="41" fillId="0" borderId="0" xfId="0" applyFont="1" applyBorder="1" applyAlignment="1">
      <alignment horizontal="right" vertical="center" wrapText="1"/>
    </xf>
    <xf numFmtId="3" fontId="41" fillId="0" borderId="17" xfId="0" applyNumberFormat="1" applyFont="1" applyBorder="1"/>
    <xf numFmtId="0" fontId="96" fillId="2" borderId="0" xfId="0" applyFont="1" applyFill="1"/>
    <xf numFmtId="2" fontId="41" fillId="0" borderId="17" xfId="0" applyNumberFormat="1" applyFont="1" applyBorder="1"/>
    <xf numFmtId="1" fontId="41" fillId="0" borderId="0" xfId="0" applyNumberFormat="1" applyFont="1" applyAlignment="1">
      <alignment horizontal="right"/>
    </xf>
    <xf numFmtId="0" fontId="0" fillId="0" borderId="17" xfId="0" applyBorder="1"/>
    <xf numFmtId="0" fontId="41" fillId="0" borderId="0" xfId="0" applyFont="1" applyBorder="1" applyAlignment="1">
      <alignment horizontal="left" vertical="center"/>
    </xf>
    <xf numFmtId="165" fontId="41" fillId="0" borderId="17" xfId="0" applyNumberFormat="1" applyFont="1" applyBorder="1"/>
    <xf numFmtId="165" fontId="40" fillId="0" borderId="0" xfId="0" applyNumberFormat="1" applyFont="1" applyFill="1"/>
    <xf numFmtId="0" fontId="40" fillId="0" borderId="0" xfId="0" applyFont="1" applyAlignment="1"/>
    <xf numFmtId="9" fontId="41" fillId="0" borderId="17" xfId="1" applyFont="1" applyBorder="1"/>
    <xf numFmtId="0" fontId="41" fillId="0" borderId="0" xfId="0" applyFont="1" applyAlignment="1">
      <alignment horizontal="right" wrapText="1"/>
    </xf>
    <xf numFmtId="1" fontId="41" fillId="0" borderId="0" xfId="0" applyNumberFormat="1" applyFont="1" applyAlignment="1">
      <alignment horizontal="right" wrapText="1"/>
    </xf>
    <xf numFmtId="1" fontId="41" fillId="0" borderId="0" xfId="0" applyNumberFormat="1" applyFont="1" applyAlignment="1"/>
    <xf numFmtId="174" fontId="41" fillId="0" borderId="0" xfId="0" applyNumberFormat="1" applyFont="1" applyAlignment="1"/>
    <xf numFmtId="165" fontId="41" fillId="0" borderId="0" xfId="0" applyNumberFormat="1" applyFont="1" applyAlignment="1"/>
    <xf numFmtId="0" fontId="42" fillId="0" borderId="0" xfId="0" applyFont="1" applyAlignment="1">
      <alignment horizontal="right" wrapText="1"/>
    </xf>
    <xf numFmtId="0" fontId="41" fillId="0" borderId="17" xfId="0" applyFont="1" applyBorder="1" applyAlignment="1">
      <alignment horizontal="right" wrapText="1"/>
    </xf>
    <xf numFmtId="174" fontId="41" fillId="0" borderId="0" xfId="0" applyNumberFormat="1" applyFont="1" applyAlignment="1">
      <alignment horizontal="right" wrapText="1"/>
    </xf>
    <xf numFmtId="179" fontId="41" fillId="0" borderId="0" xfId="0" applyNumberFormat="1" applyFont="1" applyAlignment="1"/>
    <xf numFmtId="180" fontId="41" fillId="0" borderId="0" xfId="0" applyNumberFormat="1" applyFont="1" applyAlignment="1"/>
    <xf numFmtId="0" fontId="41" fillId="0" borderId="0" xfId="0" quotePrefix="1" applyFont="1" applyAlignment="1">
      <alignment horizontal="left" wrapText="1"/>
    </xf>
    <xf numFmtId="0" fontId="41" fillId="0" borderId="0" xfId="0" applyFont="1" applyAlignment="1">
      <alignment horizontal="left" wrapText="1"/>
    </xf>
    <xf numFmtId="0" fontId="42" fillId="0" borderId="0" xfId="0" applyFont="1" applyAlignment="1">
      <alignment horizontal="left" wrapText="1"/>
    </xf>
    <xf numFmtId="0" fontId="41" fillId="0" borderId="17" xfId="0" applyFont="1" applyBorder="1" applyAlignment="1">
      <alignment horizontal="left" wrapText="1"/>
    </xf>
    <xf numFmtId="0" fontId="41" fillId="0" borderId="0" xfId="0" quotePrefix="1" applyFont="1" applyAlignment="1">
      <alignment horizontal="right" wrapText="1"/>
    </xf>
    <xf numFmtId="0" fontId="41" fillId="0" borderId="0" xfId="0" applyFont="1" applyBorder="1" applyAlignment="1">
      <alignment horizontal="left" wrapText="1"/>
    </xf>
    <xf numFmtId="0" fontId="41" fillId="0" borderId="0" xfId="0" applyFont="1" applyBorder="1" applyAlignment="1">
      <alignment horizontal="right" wrapText="1"/>
    </xf>
    <xf numFmtId="0" fontId="41" fillId="0" borderId="0" xfId="0" applyFont="1" applyFill="1" applyBorder="1" applyAlignment="1"/>
    <xf numFmtId="1" fontId="41" fillId="0" borderId="0" xfId="0" applyNumberFormat="1" applyFont="1" applyFill="1" applyBorder="1" applyAlignment="1"/>
    <xf numFmtId="0" fontId="41" fillId="0" borderId="0" xfId="0" applyFont="1" applyFill="1" applyAlignment="1"/>
    <xf numFmtId="1" fontId="41" fillId="0" borderId="0" xfId="0" applyNumberFormat="1" applyFont="1" applyFill="1" applyAlignment="1"/>
    <xf numFmtId="0" fontId="41" fillId="0" borderId="17" xfId="0" applyFont="1" applyFill="1" applyBorder="1" applyAlignment="1"/>
    <xf numFmtId="1" fontId="41" fillId="0" borderId="17" xfId="0" applyNumberFormat="1" applyFont="1" applyFill="1" applyBorder="1" applyAlignment="1"/>
    <xf numFmtId="0" fontId="41" fillId="0" borderId="0" xfId="0" applyFont="1" applyFill="1" applyBorder="1" applyAlignment="1">
      <alignment horizontal="left" wrapText="1"/>
    </xf>
    <xf numFmtId="174" fontId="42" fillId="0" borderId="0" xfId="0" applyNumberFormat="1" applyFont="1" applyAlignment="1"/>
    <xf numFmtId="0" fontId="42" fillId="0" borderId="0" xfId="0" applyFont="1" applyBorder="1" applyAlignment="1">
      <alignment horizontal="left" vertical="center" wrapText="1"/>
    </xf>
    <xf numFmtId="0" fontId="42" fillId="0" borderId="17" xfId="0" applyFont="1" applyBorder="1" applyAlignment="1">
      <alignment horizontal="left" vertical="center" wrapText="1"/>
    </xf>
    <xf numFmtId="174" fontId="42" fillId="0" borderId="0" xfId="0" applyNumberFormat="1" applyFont="1"/>
    <xf numFmtId="174" fontId="42" fillId="0" borderId="0" xfId="0" applyNumberFormat="1" applyFont="1" applyFill="1"/>
    <xf numFmtId="174" fontId="42" fillId="0" borderId="0" xfId="0" applyNumberFormat="1" applyFont="1" applyAlignment="1">
      <alignment horizontal="right" wrapText="1"/>
    </xf>
    <xf numFmtId="178" fontId="42" fillId="0" borderId="17" xfId="0" applyNumberFormat="1" applyFont="1" applyBorder="1" applyAlignment="1">
      <alignment horizontal="right" vertical="center" wrapText="1"/>
    </xf>
    <xf numFmtId="174" fontId="42" fillId="0" borderId="17" xfId="0" applyNumberFormat="1" applyFont="1" applyFill="1" applyBorder="1"/>
    <xf numFmtId="0" fontId="45" fillId="0" borderId="17" xfId="6" applyFont="1" applyBorder="1" applyAlignment="1">
      <alignment horizontal="left" indent="1"/>
    </xf>
    <xf numFmtId="169" fontId="45" fillId="0" borderId="17" xfId="0" applyNumberFormat="1" applyFont="1" applyBorder="1" applyAlignment="1">
      <alignment horizontal="right"/>
    </xf>
    <xf numFmtId="169" fontId="41" fillId="0" borderId="17" xfId="0" applyNumberFormat="1" applyFont="1" applyBorder="1"/>
    <xf numFmtId="169" fontId="46" fillId="0" borderId="17" xfId="0" applyNumberFormat="1" applyFont="1" applyBorder="1" applyAlignment="1">
      <alignment horizontal="left" wrapText="1"/>
    </xf>
    <xf numFmtId="169" fontId="46" fillId="0" borderId="17" xfId="0" applyNumberFormat="1" applyFont="1" applyBorder="1" applyAlignment="1">
      <alignment wrapText="1"/>
    </xf>
    <xf numFmtId="169" fontId="45" fillId="0" borderId="17" xfId="0" applyNumberFormat="1" applyFont="1" applyBorder="1" applyAlignment="1">
      <alignment horizontal="left" wrapText="1"/>
    </xf>
    <xf numFmtId="0" fontId="42" fillId="0" borderId="16" xfId="0" applyFont="1" applyBorder="1"/>
    <xf numFmtId="0" fontId="41" fillId="0" borderId="16" xfId="0" applyFont="1" applyBorder="1"/>
    <xf numFmtId="0" fontId="41" fillId="0" borderId="17" xfId="0" applyFont="1" applyBorder="1" applyAlignment="1">
      <alignment horizontal="right"/>
    </xf>
    <xf numFmtId="167" fontId="45" fillId="0" borderId="18" xfId="6" applyNumberFormat="1" applyFont="1" applyBorder="1" applyAlignment="1">
      <alignment horizontal="left"/>
    </xf>
    <xf numFmtId="168" fontId="41" fillId="0" borderId="17" xfId="0" applyNumberFormat="1" applyFont="1" applyBorder="1"/>
    <xf numFmtId="0" fontId="41" fillId="3" borderId="0" xfId="0" applyFont="1" applyFill="1" applyAlignment="1">
      <alignment horizontal="left" vertical="center" wrapText="1"/>
    </xf>
    <xf numFmtId="0" fontId="41" fillId="3" borderId="0" xfId="0" applyFont="1" applyFill="1" applyAlignment="1">
      <alignment horizontal="left" wrapText="1"/>
    </xf>
    <xf numFmtId="0" fontId="41" fillId="3" borderId="0" xfId="0" applyFont="1" applyFill="1" applyAlignment="1">
      <alignment horizontal="right" wrapText="1"/>
    </xf>
    <xf numFmtId="174" fontId="41" fillId="3" borderId="0" xfId="0" applyNumberFormat="1" applyFont="1" applyFill="1" applyAlignment="1">
      <alignment horizontal="right" wrapText="1"/>
    </xf>
    <xf numFmtId="0" fontId="41" fillId="3" borderId="17" xfId="0" applyFont="1" applyFill="1" applyBorder="1" applyAlignment="1">
      <alignment horizontal="left" vertical="center" wrapText="1"/>
    </xf>
    <xf numFmtId="0" fontId="41" fillId="3" borderId="17" xfId="0" applyFont="1" applyFill="1" applyBorder="1" applyAlignment="1">
      <alignment horizontal="left" wrapText="1"/>
    </xf>
    <xf numFmtId="0" fontId="41" fillId="3" borderId="17" xfId="0" applyFont="1" applyFill="1" applyBorder="1" applyAlignment="1">
      <alignment horizontal="right" wrapText="1"/>
    </xf>
    <xf numFmtId="0" fontId="41" fillId="3" borderId="17" xfId="0" applyFont="1" applyFill="1" applyBorder="1" applyAlignment="1"/>
    <xf numFmtId="1" fontId="41" fillId="3" borderId="17" xfId="0" applyNumberFormat="1" applyFont="1" applyFill="1" applyBorder="1" applyAlignment="1"/>
    <xf numFmtId="0" fontId="41" fillId="0" borderId="0" xfId="0" applyFont="1" applyAlignment="1">
      <alignment horizontal="right" vertical="center" wrapText="1"/>
    </xf>
    <xf numFmtId="0" fontId="57" fillId="0" borderId="3" xfId="3761" applyFont="1" applyFill="1" applyBorder="1"/>
    <xf numFmtId="0" fontId="47" fillId="0" borderId="0" xfId="3761" applyFill="1"/>
    <xf numFmtId="0" fontId="47" fillId="0" borderId="0" xfId="0" applyFont="1"/>
    <xf numFmtId="0" fontId="41" fillId="3" borderId="0" xfId="0" applyFont="1" applyFill="1"/>
    <xf numFmtId="0" fontId="41" fillId="3" borderId="0" xfId="0" applyFont="1" applyFill="1" applyBorder="1" applyAlignment="1">
      <alignment horizontal="left" wrapText="1"/>
    </xf>
    <xf numFmtId="0" fontId="41" fillId="3" borderId="0" xfId="0" applyFont="1" applyFill="1" applyAlignment="1"/>
    <xf numFmtId="1" fontId="41" fillId="3" borderId="0" xfId="0" applyNumberFormat="1" applyFont="1" applyFill="1" applyAlignment="1"/>
    <xf numFmtId="0" fontId="95" fillId="3" borderId="0" xfId="5" applyFont="1" applyFill="1"/>
    <xf numFmtId="0" fontId="41" fillId="0" borderId="18" xfId="0" applyFont="1" applyBorder="1"/>
    <xf numFmtId="0" fontId="40" fillId="0" borderId="16" xfId="0" applyFont="1" applyBorder="1"/>
    <xf numFmtId="0" fontId="41" fillId="0" borderId="16" xfId="0" applyFont="1" applyBorder="1" applyAlignment="1">
      <alignment horizontal="right"/>
    </xf>
    <xf numFmtId="0" fontId="40" fillId="0" borderId="17" xfId="0" applyFont="1" applyBorder="1"/>
    <xf numFmtId="0" fontId="41" fillId="0" borderId="18" xfId="0" applyFont="1" applyBorder="1" applyAlignment="1">
      <alignment horizontal="right"/>
    </xf>
    <xf numFmtId="0" fontId="41" fillId="0" borderId="18" xfId="0" applyFont="1" applyBorder="1" applyAlignment="1">
      <alignment horizontal="right" wrapText="1"/>
    </xf>
    <xf numFmtId="0" fontId="42" fillId="0" borderId="16" xfId="0" applyFont="1" applyBorder="1" applyAlignment="1">
      <alignment horizontal="right"/>
    </xf>
    <xf numFmtId="0" fontId="41" fillId="0" borderId="17" xfId="0" applyFont="1" applyBorder="1" applyAlignment="1">
      <alignment wrapText="1"/>
    </xf>
    <xf numFmtId="165" fontId="41" fillId="0" borderId="0" xfId="0" applyNumberFormat="1" applyFont="1" applyBorder="1"/>
    <xf numFmtId="1" fontId="41" fillId="0" borderId="0" xfId="0" applyNumberFormat="1" applyFont="1" applyBorder="1"/>
    <xf numFmtId="176" fontId="41" fillId="0" borderId="0" xfId="1" applyNumberFormat="1" applyFont="1" applyFill="1"/>
    <xf numFmtId="168" fontId="45" fillId="0" borderId="17" xfId="6" applyNumberFormat="1" applyFont="1" applyBorder="1" applyAlignment="1"/>
    <xf numFmtId="167" fontId="45" fillId="0" borderId="0" xfId="6" applyNumberFormat="1" applyFont="1" applyBorder="1" applyAlignment="1">
      <alignment horizontal="left"/>
    </xf>
    <xf numFmtId="0" fontId="45" fillId="0" borderId="18" xfId="6" applyFont="1" applyBorder="1" applyAlignment="1">
      <alignment horizontal="right"/>
    </xf>
    <xf numFmtId="17" fontId="41" fillId="0" borderId="18" xfId="0" applyNumberFormat="1" applyFont="1" applyBorder="1"/>
    <xf numFmtId="0" fontId="42" fillId="0" borderId="18" xfId="0" applyFont="1" applyBorder="1"/>
    <xf numFmtId="0" fontId="98" fillId="0" borderId="0" xfId="3105" applyFont="1"/>
    <xf numFmtId="0" fontId="74" fillId="0" borderId="0" xfId="9" applyFont="1" applyAlignment="1"/>
    <xf numFmtId="0" fontId="99" fillId="0" borderId="0" xfId="9" applyFont="1" applyAlignment="1"/>
    <xf numFmtId="49" fontId="99" fillId="0" borderId="0" xfId="3845" applyNumberFormat="1" applyFont="1" applyAlignment="1">
      <alignment horizontal="left"/>
    </xf>
    <xf numFmtId="0" fontId="41" fillId="0" borderId="17" xfId="0" applyFont="1" applyBorder="1" applyAlignment="1">
      <alignment horizontal="left" vertical="center" wrapText="1"/>
    </xf>
    <xf numFmtId="174" fontId="41" fillId="0" borderId="0" xfId="0" applyNumberFormat="1" applyFont="1" applyBorder="1"/>
    <xf numFmtId="0" fontId="41" fillId="0" borderId="0" xfId="0" applyFont="1" applyAlignment="1">
      <alignment horizontal="left" vertical="center" wrapText="1"/>
    </xf>
    <xf numFmtId="0" fontId="41" fillId="0" borderId="0" xfId="0" applyFont="1" applyAlignment="1">
      <alignment horizontal="right" vertical="center" wrapText="1"/>
    </xf>
    <xf numFmtId="181" fontId="41" fillId="0" borderId="0" xfId="0" applyNumberFormat="1" applyFont="1" applyBorder="1"/>
    <xf numFmtId="182" fontId="41" fillId="0" borderId="0" xfId="0" applyNumberFormat="1" applyFont="1"/>
    <xf numFmtId="0" fontId="41" fillId="0" borderId="17" xfId="0" applyFont="1" applyFill="1" applyBorder="1" applyAlignment="1">
      <alignment horizontal="left" wrapText="1"/>
    </xf>
    <xf numFmtId="0" fontId="31" fillId="0" borderId="0" xfId="0" applyFont="1"/>
    <xf numFmtId="0" fontId="95" fillId="44" borderId="0" xfId="5" applyFont="1" applyFill="1"/>
    <xf numFmtId="0" fontId="0" fillId="0" borderId="0" xfId="0" quotePrefix="1" applyFont="1" applyAlignment="1">
      <alignment horizontal="right"/>
    </xf>
    <xf numFmtId="0" fontId="31" fillId="44" borderId="0" xfId="0" applyFont="1" applyFill="1"/>
    <xf numFmtId="0" fontId="40" fillId="0" borderId="0" xfId="0" quotePrefix="1" applyFont="1" applyBorder="1" applyAlignment="1">
      <alignment horizontal="left" vertical="center" wrapText="1"/>
    </xf>
    <xf numFmtId="0" fontId="41" fillId="0" borderId="25" xfId="0" applyFont="1" applyBorder="1" applyAlignment="1">
      <alignment horizontal="left" vertical="center" wrapText="1"/>
    </xf>
    <xf numFmtId="0" fontId="40" fillId="0" borderId="25" xfId="0" applyFont="1" applyBorder="1" applyAlignment="1">
      <alignment horizontal="left" vertical="center" wrapText="1"/>
    </xf>
    <xf numFmtId="9" fontId="42" fillId="0" borderId="0" xfId="1" applyFont="1" applyAlignment="1">
      <alignment horizontal="right" wrapText="1"/>
    </xf>
    <xf numFmtId="9" fontId="42" fillId="0" borderId="0" xfId="1" applyFont="1" applyAlignment="1">
      <alignment horizontal="right" vertical="center" wrapText="1"/>
    </xf>
    <xf numFmtId="0" fontId="41"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17" xfId="0" applyFont="1" applyBorder="1" applyAlignment="1">
      <alignment horizontal="right" vertical="center" wrapText="1"/>
    </xf>
    <xf numFmtId="0" fontId="40" fillId="0" borderId="17" xfId="0" applyFont="1" applyBorder="1" applyAlignment="1">
      <alignment horizontal="right" vertical="center" wrapText="1"/>
    </xf>
    <xf numFmtId="0" fontId="40" fillId="0" borderId="0" xfId="0" applyFont="1" applyBorder="1"/>
    <xf numFmtId="165" fontId="40" fillId="0" borderId="0" xfId="0" applyNumberFormat="1" applyFont="1" applyBorder="1"/>
    <xf numFmtId="0" fontId="42" fillId="0" borderId="16" xfId="0" applyFont="1" applyBorder="1" applyAlignment="1">
      <alignment horizontal="right" wrapText="1"/>
    </xf>
    <xf numFmtId="0" fontId="45" fillId="0" borderId="0" xfId="6" applyFont="1" applyFill="1" applyAlignment="1">
      <alignment horizontal="left" indent="1"/>
    </xf>
    <xf numFmtId="0" fontId="41" fillId="0" borderId="17" xfId="0" applyFont="1" applyBorder="1" applyAlignment="1">
      <alignment horizontal="left" vertical="center" wrapText="1"/>
    </xf>
    <xf numFmtId="0" fontId="15" fillId="0" borderId="0" xfId="3846"/>
    <xf numFmtId="164" fontId="15" fillId="0" borderId="0" xfId="4" applyNumberFormat="1" applyFont="1"/>
    <xf numFmtId="164" fontId="15" fillId="0" borderId="0" xfId="3846" applyNumberFormat="1"/>
    <xf numFmtId="9" fontId="15" fillId="0" borderId="0" xfId="1" applyFont="1"/>
    <xf numFmtId="164" fontId="0" fillId="0" borderId="0" xfId="0" applyNumberFormat="1"/>
    <xf numFmtId="2" fontId="15" fillId="0" borderId="0" xfId="3846" applyNumberFormat="1"/>
    <xf numFmtId="1" fontId="15" fillId="0" borderId="0" xfId="3846" applyNumberFormat="1"/>
    <xf numFmtId="0" fontId="41" fillId="0" borderId="0" xfId="0" applyFont="1" applyAlignment="1">
      <alignment horizontal="left" vertical="center" wrapText="1"/>
    </xf>
    <xf numFmtId="0" fontId="41" fillId="0" borderId="0" xfId="0" applyFont="1" applyAlignment="1">
      <alignment horizontal="right" vertical="center" wrapText="1"/>
    </xf>
    <xf numFmtId="0" fontId="41" fillId="0" borderId="17" xfId="0" applyFont="1" applyBorder="1" applyAlignment="1">
      <alignment horizontal="left" vertical="center" wrapText="1"/>
    </xf>
    <xf numFmtId="0" fontId="41" fillId="0" borderId="17" xfId="0" applyFont="1" applyBorder="1" applyAlignment="1">
      <alignment horizontal="right" vertical="center" wrapText="1"/>
    </xf>
    <xf numFmtId="0" fontId="15" fillId="0" borderId="0" xfId="4502"/>
    <xf numFmtId="0" fontId="4" fillId="0" borderId="0" xfId="0" applyFont="1" applyFill="1" applyBorder="1"/>
    <xf numFmtId="0" fontId="4" fillId="0" borderId="0" xfId="0" applyFont="1" applyAlignment="1">
      <alignment horizontal="right"/>
    </xf>
    <xf numFmtId="0" fontId="15" fillId="0" borderId="17" xfId="3846" applyBorder="1"/>
    <xf numFmtId="1" fontId="15" fillId="0" borderId="17" xfId="4" applyNumberFormat="1" applyFont="1" applyBorder="1"/>
    <xf numFmtId="1" fontId="0" fillId="0" borderId="0" xfId="0" applyNumberFormat="1" applyBorder="1"/>
    <xf numFmtId="0" fontId="4" fillId="0" borderId="0" xfId="0" applyFont="1" applyBorder="1"/>
    <xf numFmtId="10" fontId="0" fillId="0" borderId="0" xfId="1" applyNumberFormat="1" applyFont="1" applyBorder="1"/>
    <xf numFmtId="0" fontId="42" fillId="0" borderId="0" xfId="0" applyFont="1" applyBorder="1"/>
    <xf numFmtId="165" fontId="42" fillId="0" borderId="0" xfId="0" applyNumberFormat="1" applyFont="1" applyBorder="1"/>
    <xf numFmtId="1" fontId="42" fillId="0" borderId="0" xfId="0" applyNumberFormat="1" applyFont="1" applyBorder="1"/>
    <xf numFmtId="0" fontId="0" fillId="0" borderId="17" xfId="0" applyBorder="1" applyAlignment="1">
      <alignment wrapText="1"/>
    </xf>
    <xf numFmtId="0" fontId="102" fillId="0" borderId="0" xfId="3846" applyFont="1"/>
    <xf numFmtId="9" fontId="102" fillId="0" borderId="0" xfId="1" applyFont="1" applyAlignment="1">
      <alignment horizontal="right"/>
    </xf>
    <xf numFmtId="0" fontId="102" fillId="0" borderId="0" xfId="4502" applyFont="1" applyAlignment="1">
      <alignment horizontal="right"/>
    </xf>
    <xf numFmtId="164" fontId="0" fillId="0" borderId="17" xfId="0" applyNumberFormat="1" applyBorder="1"/>
    <xf numFmtId="1" fontId="42" fillId="0" borderId="17" xfId="0" applyNumberFormat="1" applyFont="1" applyBorder="1"/>
    <xf numFmtId="0" fontId="42" fillId="0" borderId="17" xfId="0" applyFont="1" applyBorder="1"/>
    <xf numFmtId="0" fontId="41" fillId="0" borderId="0" xfId="0" applyFont="1" applyAlignment="1">
      <alignment horizontal="left" vertical="center" wrapText="1"/>
    </xf>
    <xf numFmtId="0" fontId="41" fillId="0" borderId="0" xfId="0" applyFont="1" applyAlignment="1">
      <alignment horizontal="right" vertical="center" wrapText="1"/>
    </xf>
    <xf numFmtId="165" fontId="41" fillId="0" borderId="25" xfId="0" applyNumberFormat="1" applyFont="1" applyBorder="1" applyAlignment="1">
      <alignment horizontal="right" vertical="center" wrapText="1"/>
    </xf>
    <xf numFmtId="0" fontId="103" fillId="0" borderId="0" xfId="5" applyFont="1"/>
    <xf numFmtId="174" fontId="41" fillId="0" borderId="17" xfId="0" applyNumberFormat="1" applyFont="1" applyBorder="1" applyAlignment="1">
      <alignment horizontal="right"/>
    </xf>
    <xf numFmtId="165" fontId="41" fillId="0" borderId="17" xfId="0" applyNumberFormat="1" applyFont="1" applyBorder="1" applyAlignment="1">
      <alignment horizontal="right"/>
    </xf>
    <xf numFmtId="0" fontId="42" fillId="0" borderId="17" xfId="0" applyFont="1" applyBorder="1" applyAlignment="1">
      <alignment horizontal="left" wrapText="1"/>
    </xf>
    <xf numFmtId="1" fontId="41" fillId="0" borderId="17" xfId="0" applyNumberFormat="1" applyFont="1" applyBorder="1" applyAlignment="1"/>
    <xf numFmtId="165" fontId="42" fillId="0" borderId="17" xfId="0" applyNumberFormat="1" applyFont="1" applyBorder="1"/>
    <xf numFmtId="1" fontId="41" fillId="0" borderId="0" xfId="0" applyNumberFormat="1" applyFont="1" applyFill="1"/>
    <xf numFmtId="0" fontId="42" fillId="0" borderId="0" xfId="0" applyFont="1" applyFill="1"/>
    <xf numFmtId="0" fontId="41" fillId="0" borderId="17" xfId="0" applyFont="1" applyFill="1" applyBorder="1"/>
    <xf numFmtId="0" fontId="41" fillId="0" borderId="17" xfId="0" applyFont="1" applyFill="1" applyBorder="1" applyAlignment="1">
      <alignment horizontal="left" vertical="center" wrapText="1"/>
    </xf>
    <xf numFmtId="1" fontId="41" fillId="0" borderId="17" xfId="0" applyNumberFormat="1" applyFont="1" applyFill="1" applyBorder="1"/>
    <xf numFmtId="171" fontId="41" fillId="0" borderId="17" xfId="0" applyNumberFormat="1" applyFont="1" applyBorder="1" applyAlignment="1">
      <alignment horizontal="left" vertical="center"/>
    </xf>
    <xf numFmtId="0" fontId="105" fillId="0" borderId="0" xfId="3846" applyFont="1" applyFill="1" applyBorder="1"/>
    <xf numFmtId="0" fontId="107" fillId="0" borderId="0" xfId="5" applyFont="1"/>
    <xf numFmtId="0" fontId="108" fillId="0" borderId="0" xfId="0" applyFont="1"/>
    <xf numFmtId="0" fontId="47" fillId="0" borderId="0" xfId="3840" applyFont="1"/>
    <xf numFmtId="183" fontId="52" fillId="46" borderId="0" xfId="4740" applyNumberFormat="1" applyFont="1" applyFill="1"/>
    <xf numFmtId="183" fontId="47" fillId="0" borderId="0" xfId="4740" applyNumberFormat="1" applyFont="1"/>
    <xf numFmtId="183" fontId="47" fillId="0" borderId="0" xfId="3840" applyNumberFormat="1" applyFont="1"/>
    <xf numFmtId="43" fontId="47" fillId="0" borderId="0" xfId="3840" applyNumberFormat="1" applyFont="1"/>
    <xf numFmtId="44" fontId="47" fillId="0" borderId="0" xfId="4740" applyFont="1"/>
    <xf numFmtId="164" fontId="47" fillId="0" borderId="0" xfId="4741" applyNumberFormat="1" applyFont="1"/>
    <xf numFmtId="164" fontId="47" fillId="0" borderId="0" xfId="3840" applyNumberFormat="1" applyFont="1"/>
    <xf numFmtId="0" fontId="8" fillId="0" borderId="24" xfId="3843" applyFont="1" applyBorder="1">
      <alignment horizontal="center" vertical="center" wrapText="1"/>
    </xf>
    <xf numFmtId="1" fontId="47" fillId="0" borderId="0" xfId="3840" applyNumberFormat="1" applyFont="1"/>
    <xf numFmtId="0" fontId="8" fillId="47" borderId="0" xfId="3105" applyFont="1" applyFill="1" applyAlignment="1">
      <alignment horizontal="right" wrapText="1"/>
    </xf>
    <xf numFmtId="165" fontId="47" fillId="0" borderId="0" xfId="3840" applyNumberFormat="1" applyFont="1"/>
    <xf numFmtId="164" fontId="6" fillId="0" borderId="0" xfId="4741" applyNumberFormat="1" applyFont="1" applyAlignment="1">
      <alignment horizontal="right"/>
    </xf>
    <xf numFmtId="165" fontId="6" fillId="0" borderId="0" xfId="3824" applyNumberFormat="1" applyFont="1">
      <alignment horizontal="right"/>
    </xf>
    <xf numFmtId="0" fontId="6" fillId="0" borderId="24" xfId="3843" applyFont="1" applyBorder="1">
      <alignment horizontal="center" vertical="center" wrapText="1"/>
    </xf>
    <xf numFmtId="0" fontId="109" fillId="0" borderId="0" xfId="3105" applyFont="1"/>
    <xf numFmtId="183" fontId="31" fillId="0" borderId="0" xfId="3105" applyNumberFormat="1"/>
    <xf numFmtId="164" fontId="0" fillId="0" borderId="0" xfId="4741" applyNumberFormat="1" applyFont="1"/>
    <xf numFmtId="0" fontId="14" fillId="47" borderId="0" xfId="3840" applyFill="1"/>
    <xf numFmtId="165" fontId="14" fillId="47" borderId="0" xfId="3840" applyNumberFormat="1" applyFill="1"/>
    <xf numFmtId="165" fontId="14" fillId="0" borderId="0" xfId="3840" applyNumberFormat="1"/>
    <xf numFmtId="0" fontId="8" fillId="0" borderId="0" xfId="3105" applyFont="1" applyFill="1" applyAlignment="1">
      <alignment horizontal="right" wrapText="1"/>
    </xf>
    <xf numFmtId="0" fontId="110" fillId="0" borderId="0" xfId="3840" applyFont="1"/>
    <xf numFmtId="1" fontId="14" fillId="0" borderId="0" xfId="3840" applyNumberFormat="1"/>
    <xf numFmtId="16" fontId="8" fillId="0" borderId="0" xfId="3105" applyNumberFormat="1" applyFont="1" applyFill="1" applyAlignment="1">
      <alignment horizontal="right" wrapText="1"/>
    </xf>
    <xf numFmtId="0" fontId="14" fillId="0" borderId="26" xfId="3105" applyFont="1" applyBorder="1" applyAlignment="1">
      <alignment horizontal="left"/>
    </xf>
    <xf numFmtId="170" fontId="6" fillId="0" borderId="0" xfId="3105" applyNumberFormat="1" applyFont="1" applyFill="1" applyBorder="1" applyAlignment="1">
      <alignment horizontal="right"/>
    </xf>
    <xf numFmtId="0" fontId="41" fillId="0" borderId="0" xfId="3840" applyFont="1"/>
    <xf numFmtId="0" fontId="14" fillId="0" borderId="0" xfId="3840" applyFont="1" applyFill="1"/>
    <xf numFmtId="170" fontId="6" fillId="0" borderId="0" xfId="3833" applyNumberFormat="1" applyFont="1" applyFill="1" applyBorder="1">
      <alignment horizontal="right"/>
    </xf>
    <xf numFmtId="0" fontId="111" fillId="0" borderId="0" xfId="3840" applyFont="1" applyFill="1"/>
    <xf numFmtId="0" fontId="77" fillId="0" borderId="0" xfId="3105" applyFont="1" applyFill="1" applyBorder="1" applyAlignment="1">
      <alignment horizontal="left" wrapText="1" indent="1"/>
    </xf>
    <xf numFmtId="170" fontId="45" fillId="0" borderId="0" xfId="3833" applyNumberFormat="1" applyFont="1" applyFill="1" applyBorder="1">
      <alignment horizontal="right"/>
    </xf>
    <xf numFmtId="170" fontId="46" fillId="0" borderId="0" xfId="3833" applyNumberFormat="1" applyFont="1" applyFill="1" applyBorder="1">
      <alignment horizontal="right"/>
    </xf>
    <xf numFmtId="0" fontId="14" fillId="0" borderId="0" xfId="3840" applyFill="1"/>
    <xf numFmtId="165" fontId="6" fillId="0" borderId="0" xfId="3824" applyNumberFormat="1">
      <alignment horizontal="right"/>
    </xf>
    <xf numFmtId="0" fontId="80" fillId="0" borderId="0" xfId="3105" applyFont="1"/>
    <xf numFmtId="0" fontId="52" fillId="0" borderId="0" xfId="3840" applyFont="1"/>
    <xf numFmtId="0" fontId="6" fillId="0" borderId="0" xfId="9" applyFont="1" applyFill="1" applyAlignment="1"/>
    <xf numFmtId="0" fontId="47" fillId="0" borderId="0" xfId="3840" applyFont="1" applyFill="1"/>
    <xf numFmtId="44" fontId="52" fillId="0" borderId="0" xfId="3840" applyNumberFormat="1" applyFont="1" applyFill="1"/>
    <xf numFmtId="44" fontId="47" fillId="0" borderId="0" xfId="3840" applyNumberFormat="1" applyFont="1" applyFill="1"/>
    <xf numFmtId="0" fontId="52" fillId="0" borderId="0" xfId="3840" applyFont="1" applyFill="1"/>
    <xf numFmtId="1" fontId="47" fillId="0" borderId="0" xfId="3840" applyNumberFormat="1" applyFont="1" applyFill="1"/>
    <xf numFmtId="0" fontId="47" fillId="0" borderId="0" xfId="3840" applyFont="1" applyFill="1" applyAlignment="1">
      <alignment wrapText="1"/>
    </xf>
    <xf numFmtId="0" fontId="47" fillId="0" borderId="0" xfId="0" applyFont="1" applyFill="1"/>
    <xf numFmtId="3" fontId="47" fillId="0" borderId="0" xfId="3840" applyNumberFormat="1" applyFont="1" applyFill="1"/>
    <xf numFmtId="165" fontId="47" fillId="0" borderId="0" xfId="3840" applyNumberFormat="1" applyFont="1" applyFill="1"/>
    <xf numFmtId="164" fontId="47" fillId="0" borderId="0" xfId="4741" applyNumberFormat="1" applyFont="1" applyFill="1"/>
    <xf numFmtId="43" fontId="47" fillId="0" borderId="0" xfId="3840" applyNumberFormat="1" applyFont="1" applyFill="1"/>
    <xf numFmtId="164" fontId="47" fillId="0" borderId="0" xfId="3840" applyNumberFormat="1" applyFont="1" applyFill="1"/>
    <xf numFmtId="3" fontId="31" fillId="17" borderId="0" xfId="3105" applyNumberFormat="1" applyFill="1"/>
    <xf numFmtId="0" fontId="95" fillId="45" borderId="0" xfId="5" applyFont="1" applyFill="1"/>
    <xf numFmtId="0" fontId="41" fillId="0" borderId="18" xfId="0" applyFont="1" applyBorder="1" applyAlignment="1">
      <alignment horizontal="left" vertical="top" wrapText="1"/>
    </xf>
    <xf numFmtId="0" fontId="41" fillId="0" borderId="0" xfId="0" applyFont="1" applyAlignment="1">
      <alignment horizontal="left" vertical="top" wrapText="1"/>
    </xf>
    <xf numFmtId="0" fontId="41" fillId="0" borderId="16" xfId="0" applyFont="1" applyBorder="1" applyAlignment="1">
      <alignment horizontal="center" vertical="center" wrapText="1"/>
    </xf>
    <xf numFmtId="0" fontId="41" fillId="0" borderId="0" xfId="0" applyFont="1" applyAlignment="1">
      <alignment horizontal="center" vertical="center" wrapText="1"/>
    </xf>
    <xf numFmtId="0" fontId="41" fillId="0" borderId="18" xfId="0" applyFont="1" applyBorder="1" applyAlignment="1">
      <alignment horizontal="center" vertical="center" wrapText="1"/>
    </xf>
    <xf numFmtId="0" fontId="41" fillId="0" borderId="0" xfId="0" applyFont="1" applyAlignment="1">
      <alignment horizontal="right" vertical="center" wrapText="1"/>
    </xf>
    <xf numFmtId="0" fontId="41"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17" xfId="0" applyFont="1" applyBorder="1" applyAlignment="1">
      <alignment horizontal="right" vertical="center" wrapText="1"/>
    </xf>
    <xf numFmtId="0" fontId="41" fillId="0" borderId="0" xfId="0" applyFont="1" applyBorder="1" applyAlignment="1">
      <alignment horizontal="center" vertical="center" wrapText="1"/>
    </xf>
    <xf numFmtId="0" fontId="41" fillId="0" borderId="18" xfId="0" applyFont="1" applyBorder="1" applyAlignment="1">
      <alignment horizontal="center"/>
    </xf>
    <xf numFmtId="0" fontId="64" fillId="2" borderId="0" xfId="0" applyFont="1" applyFill="1" applyAlignment="1">
      <alignment horizontal="left" vertical="center" wrapText="1"/>
    </xf>
    <xf numFmtId="0" fontId="0" fillId="2" borderId="0" xfId="0" applyFill="1" applyAlignment="1">
      <alignment wrapText="1"/>
    </xf>
    <xf numFmtId="0" fontId="59" fillId="2" borderId="19" xfId="0" applyFont="1" applyFill="1" applyBorder="1" applyAlignment="1">
      <alignment horizontal="center" vertical="center" wrapText="1"/>
    </xf>
    <xf numFmtId="0" fontId="0" fillId="2" borderId="19" xfId="0" applyFill="1" applyBorder="1" applyAlignment="1">
      <alignment horizontal="center" vertical="center" wrapText="1"/>
    </xf>
    <xf numFmtId="0" fontId="64" fillId="2" borderId="1" xfId="0" applyFont="1" applyFill="1" applyBorder="1" applyAlignment="1">
      <alignment horizontal="left" vertical="center" wrapText="1"/>
    </xf>
    <xf numFmtId="0" fontId="0" fillId="2" borderId="1" xfId="0" applyFill="1" applyBorder="1" applyAlignment="1">
      <alignment wrapText="1"/>
    </xf>
    <xf numFmtId="0" fontId="58" fillId="2" borderId="21" xfId="0" applyFont="1" applyFill="1" applyBorder="1" applyAlignment="1">
      <alignment vertical="center" wrapText="1"/>
    </xf>
    <xf numFmtId="0" fontId="0" fillId="2" borderId="21" xfId="0" applyFill="1" applyBorder="1" applyAlignment="1">
      <alignment wrapText="1"/>
    </xf>
    <xf numFmtId="0" fontId="59" fillId="2" borderId="22" xfId="0" applyFont="1" applyFill="1" applyBorder="1" applyAlignment="1">
      <alignment horizontal="center" vertical="center" wrapText="1"/>
    </xf>
    <xf numFmtId="0" fontId="46" fillId="0" borderId="4" xfId="0" quotePrefix="1" applyFont="1" applyBorder="1" applyAlignment="1">
      <alignment horizontal="center" wrapText="1"/>
    </xf>
    <xf numFmtId="169" fontId="46" fillId="0" borderId="4" xfId="0" quotePrefix="1" applyNumberFormat="1" applyFont="1" applyBorder="1" applyAlignment="1">
      <alignment horizontal="center" wrapText="1"/>
    </xf>
    <xf numFmtId="0" fontId="46" fillId="0" borderId="3" xfId="0" applyFont="1" applyBorder="1" applyAlignment="1">
      <alignment horizontal="left" wrapText="1"/>
    </xf>
    <xf numFmtId="169" fontId="46" fillId="0" borderId="3" xfId="0" applyNumberFormat="1" applyFont="1" applyBorder="1" applyAlignment="1">
      <alignment horizontal="left" wrapText="1"/>
    </xf>
    <xf numFmtId="0" fontId="46" fillId="0" borderId="18" xfId="0" applyFont="1" applyBorder="1" applyAlignment="1">
      <alignment horizontal="center" wrapText="1"/>
    </xf>
    <xf numFmtId="0" fontId="89" fillId="0" borderId="0" xfId="0" applyFont="1" applyAlignment="1">
      <alignment horizontal="left" vertical="top" wrapText="1"/>
    </xf>
    <xf numFmtId="0" fontId="78" fillId="43" borderId="0" xfId="3105" applyFont="1" applyFill="1" applyAlignment="1">
      <alignment horizontal="left" vertical="center" indent="10"/>
    </xf>
    <xf numFmtId="0" fontId="59" fillId="0" borderId="4" xfId="3105" applyFont="1" applyFill="1" applyBorder="1" applyAlignment="1">
      <alignment horizontal="center" wrapText="1"/>
    </xf>
    <xf numFmtId="0" fontId="74" fillId="0" borderId="0" xfId="3845" applyFont="1" applyAlignment="1">
      <alignment horizontal="left" vertical="top" wrapText="1"/>
    </xf>
  </cellXfs>
  <cellStyles count="4742">
    <cellStyle name="20% - Accent1 10" xfId="11"/>
    <cellStyle name="20% - Accent1 10 2" xfId="12"/>
    <cellStyle name="20% - Accent1 10 3" xfId="13"/>
    <cellStyle name="20% - Accent1 10 4" xfId="14"/>
    <cellStyle name="20% - Accent1 10 5" xfId="15"/>
    <cellStyle name="20% - Accent1 10_15% shr of costs" xfId="3847"/>
    <cellStyle name="20% - Accent1 11" xfId="16"/>
    <cellStyle name="20% - Accent1 11 2" xfId="17"/>
    <cellStyle name="20% - Accent1 11 3" xfId="18"/>
    <cellStyle name="20% - Accent1 11 4" xfId="19"/>
    <cellStyle name="20% - Accent1 11 5" xfId="20"/>
    <cellStyle name="20% - Accent1 11_15% shr of costs" xfId="3848"/>
    <cellStyle name="20% - Accent1 12" xfId="21"/>
    <cellStyle name="20% - Accent1 12 2" xfId="22"/>
    <cellStyle name="20% - Accent1 12 3" xfId="23"/>
    <cellStyle name="20% - Accent1 12 4" xfId="24"/>
    <cellStyle name="20% - Accent1 12_15% shr of costs" xfId="3849"/>
    <cellStyle name="20% - Accent1 13" xfId="25"/>
    <cellStyle name="20% - Accent1 13 2" xfId="26"/>
    <cellStyle name="20% - Accent1 13 3" xfId="27"/>
    <cellStyle name="20% - Accent1 13 4" xfId="28"/>
    <cellStyle name="20% - Accent1 13_15% shr of costs" xfId="3850"/>
    <cellStyle name="20% - Accent1 14" xfId="29"/>
    <cellStyle name="20% - Accent1 14 2" xfId="30"/>
    <cellStyle name="20% - Accent1 14 3" xfId="31"/>
    <cellStyle name="20% - Accent1 14 4" xfId="32"/>
    <cellStyle name="20% - Accent1 14_15% shr of costs" xfId="3851"/>
    <cellStyle name="20% - Accent1 15" xfId="33"/>
    <cellStyle name="20% - Accent1 15 2" xfId="34"/>
    <cellStyle name="20% - Accent1 15 3" xfId="35"/>
    <cellStyle name="20% - Accent1 15_15% shr of costs" xfId="3852"/>
    <cellStyle name="20% - Accent1 16" xfId="36"/>
    <cellStyle name="20% - Accent1 17" xfId="37"/>
    <cellStyle name="20% - Accent1 2" xfId="38"/>
    <cellStyle name="20% - Accent1 2 2" xfId="39"/>
    <cellStyle name="20% - Accent1 2 2 2" xfId="40"/>
    <cellStyle name="20% - Accent1 2 2 2 2" xfId="41"/>
    <cellStyle name="20% - Accent1 2 2 2 2 2" xfId="42"/>
    <cellStyle name="20% - Accent1 2 2 2 2 3" xfId="43"/>
    <cellStyle name="20% - Accent1 2 2 2 2 4" xfId="44"/>
    <cellStyle name="20% - Accent1 2 2 2 2_15% shr of costs" xfId="3855"/>
    <cellStyle name="20% - Accent1 2 2 2 3" xfId="45"/>
    <cellStyle name="20% - Accent1 2 2 2 3 2" xfId="46"/>
    <cellStyle name="20% - Accent1 2 2 2 3_15% shr of costs" xfId="3856"/>
    <cellStyle name="20% - Accent1 2 2 2 4" xfId="47"/>
    <cellStyle name="20% - Accent1 2 2 2 4 2" xfId="48"/>
    <cellStyle name="20% - Accent1 2 2 2 4_15% shr of costs" xfId="3857"/>
    <cellStyle name="20% - Accent1 2 2 2 5" xfId="49"/>
    <cellStyle name="20% - Accent1 2 2 2 6" xfId="50"/>
    <cellStyle name="20% - Accent1 2 2 2 7" xfId="51"/>
    <cellStyle name="20% - Accent1 2 2 2_15% shr of costs" xfId="3854"/>
    <cellStyle name="20% - Accent1 2 2 3" xfId="52"/>
    <cellStyle name="20% - Accent1 2 2 3 2" xfId="53"/>
    <cellStyle name="20% - Accent1 2 2 3 3" xfId="54"/>
    <cellStyle name="20% - Accent1 2 2 3 4" xfId="55"/>
    <cellStyle name="20% - Accent1 2 2 3_15% shr of costs" xfId="3858"/>
    <cellStyle name="20% - Accent1 2 2 4" xfId="56"/>
    <cellStyle name="20% - Accent1 2 2 4 2" xfId="57"/>
    <cellStyle name="20% - Accent1 2 2 4_15% shr of costs" xfId="3859"/>
    <cellStyle name="20% - Accent1 2 2 5" xfId="58"/>
    <cellStyle name="20% - Accent1 2 2 5 2" xfId="59"/>
    <cellStyle name="20% - Accent1 2 2 5_15% shr of costs" xfId="3860"/>
    <cellStyle name="20% - Accent1 2 2 6" xfId="60"/>
    <cellStyle name="20% - Accent1 2 2 7" xfId="61"/>
    <cellStyle name="20% - Accent1 2 2 8" xfId="62"/>
    <cellStyle name="20% - Accent1 2 2_15% shr of costs" xfId="3853"/>
    <cellStyle name="20% - Accent1 2 3" xfId="63"/>
    <cellStyle name="20% - Accent1 2 3 2" xfId="64"/>
    <cellStyle name="20% - Accent1 2 3 2 2" xfId="65"/>
    <cellStyle name="20% - Accent1 2 3 2 3" xfId="66"/>
    <cellStyle name="20% - Accent1 2 3 2 4" xfId="67"/>
    <cellStyle name="20% - Accent1 2 3 2_15% shr of costs" xfId="3862"/>
    <cellStyle name="20% - Accent1 2 3 3" xfId="68"/>
    <cellStyle name="20% - Accent1 2 3 3 2" xfId="69"/>
    <cellStyle name="20% - Accent1 2 3 3_15% shr of costs" xfId="3863"/>
    <cellStyle name="20% - Accent1 2 3 4" xfId="70"/>
    <cellStyle name="20% - Accent1 2 3 4 2" xfId="71"/>
    <cellStyle name="20% - Accent1 2 3 4_15% shr of costs" xfId="3864"/>
    <cellStyle name="20% - Accent1 2 3 5" xfId="72"/>
    <cellStyle name="20% - Accent1 2 3 6" xfId="73"/>
    <cellStyle name="20% - Accent1 2 3 7" xfId="74"/>
    <cellStyle name="20% - Accent1 2 3_15% shr of costs" xfId="3861"/>
    <cellStyle name="20% - Accent1 2 4" xfId="75"/>
    <cellStyle name="20% - Accent1 2 4 2" xfId="76"/>
    <cellStyle name="20% - Accent1 2 4 3" xfId="77"/>
    <cellStyle name="20% - Accent1 2 4 4" xfId="78"/>
    <cellStyle name="20% - Accent1 2 4_15% shr of costs" xfId="3865"/>
    <cellStyle name="20% - Accent1 2 5" xfId="79"/>
    <cellStyle name="20% - Accent1 2 5 2" xfId="80"/>
    <cellStyle name="20% - Accent1 2 5_15% shr of costs" xfId="3866"/>
    <cellStyle name="20% - Accent1 2 6" xfId="81"/>
    <cellStyle name="20% - Accent1 2 6 2" xfId="82"/>
    <cellStyle name="20% - Accent1 2 6_15% shr of costs" xfId="3867"/>
    <cellStyle name="20% - Accent1 2 7" xfId="83"/>
    <cellStyle name="20% - Accent1 2 8" xfId="84"/>
    <cellStyle name="20% - Accent1 2 9" xfId="85"/>
    <cellStyle name="20% - Accent1 3" xfId="86"/>
    <cellStyle name="20% - Accent1 3 2" xfId="87"/>
    <cellStyle name="20% - Accent1 3 2 2" xfId="88"/>
    <cellStyle name="20% - Accent1 3 2 2 2" xfId="89"/>
    <cellStyle name="20% - Accent1 3 2 2 3" xfId="90"/>
    <cellStyle name="20% - Accent1 3 2 2 4" xfId="91"/>
    <cellStyle name="20% - Accent1 3 2 2 5" xfId="92"/>
    <cellStyle name="20% - Accent1 3 2 2_15% shr of costs" xfId="3870"/>
    <cellStyle name="20% - Accent1 3 2 3" xfId="93"/>
    <cellStyle name="20% - Accent1 3 2 3 2" xfId="94"/>
    <cellStyle name="20% - Accent1 3 2 3_15% shr of costs" xfId="3871"/>
    <cellStyle name="20% - Accent1 3 2 4" xfId="95"/>
    <cellStyle name="20% - Accent1 3 2 4 2" xfId="96"/>
    <cellStyle name="20% - Accent1 3 2 4_15% shr of costs" xfId="3872"/>
    <cellStyle name="20% - Accent1 3 2 5" xfId="97"/>
    <cellStyle name="20% - Accent1 3 2 6" xfId="98"/>
    <cellStyle name="20% - Accent1 3 2 7" xfId="99"/>
    <cellStyle name="20% - Accent1 3 2_15% shr of costs" xfId="3869"/>
    <cellStyle name="20% - Accent1 3 3" xfId="100"/>
    <cellStyle name="20% - Accent1 3 3 2" xfId="101"/>
    <cellStyle name="20% - Accent1 3 3 3" xfId="102"/>
    <cellStyle name="20% - Accent1 3 3 4" xfId="103"/>
    <cellStyle name="20% - Accent1 3 3 5" xfId="104"/>
    <cellStyle name="20% - Accent1 3 3_15% shr of costs" xfId="3873"/>
    <cellStyle name="20% - Accent1 3 4" xfId="105"/>
    <cellStyle name="20% - Accent1 3 4 2" xfId="106"/>
    <cellStyle name="20% - Accent1 3 4_15% shr of costs" xfId="3874"/>
    <cellStyle name="20% - Accent1 3 5" xfId="107"/>
    <cellStyle name="20% - Accent1 3 5 2" xfId="108"/>
    <cellStyle name="20% - Accent1 3 5_15% shr of costs" xfId="3875"/>
    <cellStyle name="20% - Accent1 3 6" xfId="109"/>
    <cellStyle name="20% - Accent1 3 7" xfId="110"/>
    <cellStyle name="20% - Accent1 3 8" xfId="111"/>
    <cellStyle name="20% - Accent1 3_15% shr of costs" xfId="3868"/>
    <cellStyle name="20% - Accent1 4" xfId="112"/>
    <cellStyle name="20% - Accent1 4 2" xfId="113"/>
    <cellStyle name="20% - Accent1 4 2 2" xfId="114"/>
    <cellStyle name="20% - Accent1 4 2 2 2" xfId="115"/>
    <cellStyle name="20% - Accent1 4 2 2 3" xfId="116"/>
    <cellStyle name="20% - Accent1 4 2 2 4" xfId="117"/>
    <cellStyle name="20% - Accent1 4 2 2 5" xfId="118"/>
    <cellStyle name="20% - Accent1 4 2 2_15% shr of costs" xfId="3878"/>
    <cellStyle name="20% - Accent1 4 2 3" xfId="119"/>
    <cellStyle name="20% - Accent1 4 2 4" xfId="120"/>
    <cellStyle name="20% - Accent1 4 2 5" xfId="121"/>
    <cellStyle name="20% - Accent1 4 2 6" xfId="122"/>
    <cellStyle name="20% - Accent1 4 2_15% shr of costs" xfId="3877"/>
    <cellStyle name="20% - Accent1 4 3" xfId="123"/>
    <cellStyle name="20% - Accent1 4 3 2" xfId="124"/>
    <cellStyle name="20% - Accent1 4 3 3" xfId="125"/>
    <cellStyle name="20% - Accent1 4 3 4" xfId="126"/>
    <cellStyle name="20% - Accent1 4 3 5" xfId="127"/>
    <cellStyle name="20% - Accent1 4 3_15% shr of costs" xfId="3879"/>
    <cellStyle name="20% - Accent1 4 4" xfId="128"/>
    <cellStyle name="20% - Accent1 4 4 2" xfId="129"/>
    <cellStyle name="20% - Accent1 4 4_15% shr of costs" xfId="3880"/>
    <cellStyle name="20% - Accent1 4 5" xfId="130"/>
    <cellStyle name="20% - Accent1 4 6" xfId="131"/>
    <cellStyle name="20% - Accent1 4 7" xfId="132"/>
    <cellStyle name="20% - Accent1 4_15% shr of costs" xfId="3876"/>
    <cellStyle name="20% - Accent1 5" xfId="133"/>
    <cellStyle name="20% - Accent1 5 2" xfId="134"/>
    <cellStyle name="20% - Accent1 5 2 2" xfId="135"/>
    <cellStyle name="20% - Accent1 5 2 2 2" xfId="136"/>
    <cellStyle name="20% - Accent1 5 2 2 3" xfId="137"/>
    <cellStyle name="20% - Accent1 5 2 2 4" xfId="138"/>
    <cellStyle name="20% - Accent1 5 2 2 5" xfId="139"/>
    <cellStyle name="20% - Accent1 5 2 2_15% shr of costs" xfId="3883"/>
    <cellStyle name="20% - Accent1 5 2 3" xfId="140"/>
    <cellStyle name="20% - Accent1 5 2 4" xfId="141"/>
    <cellStyle name="20% - Accent1 5 2 5" xfId="142"/>
    <cellStyle name="20% - Accent1 5 2 6" xfId="143"/>
    <cellStyle name="20% - Accent1 5 2_15% shr of costs" xfId="3882"/>
    <cellStyle name="20% - Accent1 5 3" xfId="144"/>
    <cellStyle name="20% - Accent1 5 3 2" xfId="145"/>
    <cellStyle name="20% - Accent1 5 3 3" xfId="146"/>
    <cellStyle name="20% - Accent1 5 3 4" xfId="147"/>
    <cellStyle name="20% - Accent1 5 3 5" xfId="148"/>
    <cellStyle name="20% - Accent1 5 3_15% shr of costs" xfId="3884"/>
    <cellStyle name="20% - Accent1 5 4" xfId="149"/>
    <cellStyle name="20% - Accent1 5 5" xfId="150"/>
    <cellStyle name="20% - Accent1 5 6" xfId="151"/>
    <cellStyle name="20% - Accent1 5 7" xfId="152"/>
    <cellStyle name="20% - Accent1 5_15% shr of costs" xfId="3881"/>
    <cellStyle name="20% - Accent1 6" xfId="153"/>
    <cellStyle name="20% - Accent1 6 2" xfId="154"/>
    <cellStyle name="20% - Accent1 6 2 2" xfId="155"/>
    <cellStyle name="20% - Accent1 6 2 2 2" xfId="156"/>
    <cellStyle name="20% - Accent1 6 2 2 3" xfId="157"/>
    <cellStyle name="20% - Accent1 6 2 2 4" xfId="158"/>
    <cellStyle name="20% - Accent1 6 2 2 5" xfId="159"/>
    <cellStyle name="20% - Accent1 6 2 2_15% shr of costs" xfId="3887"/>
    <cellStyle name="20% - Accent1 6 2 3" xfId="160"/>
    <cellStyle name="20% - Accent1 6 2 4" xfId="161"/>
    <cellStyle name="20% - Accent1 6 2 5" xfId="162"/>
    <cellStyle name="20% - Accent1 6 2 6" xfId="163"/>
    <cellStyle name="20% - Accent1 6 2_15% shr of costs" xfId="3886"/>
    <cellStyle name="20% - Accent1 6 3" xfId="164"/>
    <cellStyle name="20% - Accent1 6 3 2" xfId="165"/>
    <cellStyle name="20% - Accent1 6 3 3" xfId="166"/>
    <cellStyle name="20% - Accent1 6 3 4" xfId="167"/>
    <cellStyle name="20% - Accent1 6 3 5" xfId="168"/>
    <cellStyle name="20% - Accent1 6 3_15% shr of costs" xfId="3888"/>
    <cellStyle name="20% - Accent1 6 4" xfId="169"/>
    <cellStyle name="20% - Accent1 6 5" xfId="170"/>
    <cellStyle name="20% - Accent1 6 6" xfId="171"/>
    <cellStyle name="20% - Accent1 6 7" xfId="172"/>
    <cellStyle name="20% - Accent1 6_15% shr of costs" xfId="3885"/>
    <cellStyle name="20% - Accent1 7" xfId="173"/>
    <cellStyle name="20% - Accent1 7 2" xfId="174"/>
    <cellStyle name="20% - Accent1 7 2 2" xfId="175"/>
    <cellStyle name="20% - Accent1 7 2 2 2" xfId="176"/>
    <cellStyle name="20% - Accent1 7 2 2 3" xfId="177"/>
    <cellStyle name="20% - Accent1 7 2 2 4" xfId="178"/>
    <cellStyle name="20% - Accent1 7 2 2 5" xfId="179"/>
    <cellStyle name="20% - Accent1 7 2 2_15% shr of costs" xfId="3891"/>
    <cellStyle name="20% - Accent1 7 2 3" xfId="180"/>
    <cellStyle name="20% - Accent1 7 2 4" xfId="181"/>
    <cellStyle name="20% - Accent1 7 2 5" xfId="182"/>
    <cellStyle name="20% - Accent1 7 2 6" xfId="183"/>
    <cellStyle name="20% - Accent1 7 2_15% shr of costs" xfId="3890"/>
    <cellStyle name="20% - Accent1 7 3" xfId="184"/>
    <cellStyle name="20% - Accent1 7 3 2" xfId="185"/>
    <cellStyle name="20% - Accent1 7 3 3" xfId="186"/>
    <cellStyle name="20% - Accent1 7 3 4" xfId="187"/>
    <cellStyle name="20% - Accent1 7 3 5" xfId="188"/>
    <cellStyle name="20% - Accent1 7 3_15% shr of costs" xfId="3892"/>
    <cellStyle name="20% - Accent1 7 4" xfId="189"/>
    <cellStyle name="20% - Accent1 7 5" xfId="190"/>
    <cellStyle name="20% - Accent1 7 6" xfId="191"/>
    <cellStyle name="20% - Accent1 7 7" xfId="192"/>
    <cellStyle name="20% - Accent1 7_15% shr of costs" xfId="3889"/>
    <cellStyle name="20% - Accent1 8" xfId="193"/>
    <cellStyle name="20% - Accent1 8 2" xfId="194"/>
    <cellStyle name="20% - Accent1 8 2 2" xfId="195"/>
    <cellStyle name="20% - Accent1 8 2 2 2" xfId="196"/>
    <cellStyle name="20% - Accent1 8 2 2 3" xfId="197"/>
    <cellStyle name="20% - Accent1 8 2 2 4" xfId="198"/>
    <cellStyle name="20% - Accent1 8 2 2 5" xfId="199"/>
    <cellStyle name="20% - Accent1 8 2 2_15% shr of costs" xfId="3895"/>
    <cellStyle name="20% - Accent1 8 2 3" xfId="200"/>
    <cellStyle name="20% - Accent1 8 2 4" xfId="201"/>
    <cellStyle name="20% - Accent1 8 2 5" xfId="202"/>
    <cellStyle name="20% - Accent1 8 2 6" xfId="203"/>
    <cellStyle name="20% - Accent1 8 2_15% shr of costs" xfId="3894"/>
    <cellStyle name="20% - Accent1 8 3" xfId="204"/>
    <cellStyle name="20% - Accent1 8 3 2" xfId="205"/>
    <cellStyle name="20% - Accent1 8 3 3" xfId="206"/>
    <cellStyle name="20% - Accent1 8 3 4" xfId="207"/>
    <cellStyle name="20% - Accent1 8 3 5" xfId="208"/>
    <cellStyle name="20% - Accent1 8 3_15% shr of costs" xfId="3896"/>
    <cellStyle name="20% - Accent1 8 4" xfId="209"/>
    <cellStyle name="20% - Accent1 8 5" xfId="210"/>
    <cellStyle name="20% - Accent1 8 6" xfId="211"/>
    <cellStyle name="20% - Accent1 8 7" xfId="212"/>
    <cellStyle name="20% - Accent1 8_15% shr of costs" xfId="3893"/>
    <cellStyle name="20% - Accent1 9" xfId="213"/>
    <cellStyle name="20% - Accent1 9 2" xfId="214"/>
    <cellStyle name="20% - Accent1 9 2 2" xfId="215"/>
    <cellStyle name="20% - Accent1 9 2 3" xfId="216"/>
    <cellStyle name="20% - Accent1 9 2 4" xfId="217"/>
    <cellStyle name="20% - Accent1 9 2 5" xfId="218"/>
    <cellStyle name="20% - Accent1 9 2_15% shr of costs" xfId="3898"/>
    <cellStyle name="20% - Accent1 9 3" xfId="219"/>
    <cellStyle name="20% - Accent1 9 4" xfId="220"/>
    <cellStyle name="20% - Accent1 9 5" xfId="221"/>
    <cellStyle name="20% - Accent1 9 6" xfId="222"/>
    <cellStyle name="20% - Accent1 9_15% shr of costs" xfId="3897"/>
    <cellStyle name="20% - Accent2 10" xfId="223"/>
    <cellStyle name="20% - Accent2 10 2" xfId="224"/>
    <cellStyle name="20% - Accent2 10 3" xfId="225"/>
    <cellStyle name="20% - Accent2 10 4" xfId="226"/>
    <cellStyle name="20% - Accent2 10 5" xfId="227"/>
    <cellStyle name="20% - Accent2 10_15% shr of costs" xfId="3899"/>
    <cellStyle name="20% - Accent2 11" xfId="228"/>
    <cellStyle name="20% - Accent2 11 2" xfId="229"/>
    <cellStyle name="20% - Accent2 11 3" xfId="230"/>
    <cellStyle name="20% - Accent2 11 4" xfId="231"/>
    <cellStyle name="20% - Accent2 11 5" xfId="232"/>
    <cellStyle name="20% - Accent2 11_15% shr of costs" xfId="3900"/>
    <cellStyle name="20% - Accent2 12" xfId="233"/>
    <cellStyle name="20% - Accent2 12 2" xfId="234"/>
    <cellStyle name="20% - Accent2 12 3" xfId="235"/>
    <cellStyle name="20% - Accent2 12 4" xfId="236"/>
    <cellStyle name="20% - Accent2 12_15% shr of costs" xfId="3901"/>
    <cellStyle name="20% - Accent2 13" xfId="237"/>
    <cellStyle name="20% - Accent2 13 2" xfId="238"/>
    <cellStyle name="20% - Accent2 13 3" xfId="239"/>
    <cellStyle name="20% - Accent2 13 4" xfId="240"/>
    <cellStyle name="20% - Accent2 13_15% shr of costs" xfId="3902"/>
    <cellStyle name="20% - Accent2 14" xfId="241"/>
    <cellStyle name="20% - Accent2 14 2" xfId="242"/>
    <cellStyle name="20% - Accent2 14 3" xfId="243"/>
    <cellStyle name="20% - Accent2 14 4" xfId="244"/>
    <cellStyle name="20% - Accent2 14_15% shr of costs" xfId="3903"/>
    <cellStyle name="20% - Accent2 15" xfId="245"/>
    <cellStyle name="20% - Accent2 15 2" xfId="246"/>
    <cellStyle name="20% - Accent2 15 3" xfId="247"/>
    <cellStyle name="20% - Accent2 15_15% shr of costs" xfId="3904"/>
    <cellStyle name="20% - Accent2 16" xfId="248"/>
    <cellStyle name="20% - Accent2 17" xfId="249"/>
    <cellStyle name="20% - Accent2 2" xfId="250"/>
    <cellStyle name="20% - Accent2 2 2" xfId="251"/>
    <cellStyle name="20% - Accent2 2 2 2" xfId="252"/>
    <cellStyle name="20% - Accent2 2 2 2 2" xfId="253"/>
    <cellStyle name="20% - Accent2 2 2 2 2 2" xfId="254"/>
    <cellStyle name="20% - Accent2 2 2 2 2 3" xfId="255"/>
    <cellStyle name="20% - Accent2 2 2 2 2 4" xfId="256"/>
    <cellStyle name="20% - Accent2 2 2 2 2_15% shr of costs" xfId="3907"/>
    <cellStyle name="20% - Accent2 2 2 2 3" xfId="257"/>
    <cellStyle name="20% - Accent2 2 2 2 3 2" xfId="258"/>
    <cellStyle name="20% - Accent2 2 2 2 3_15% shr of costs" xfId="3908"/>
    <cellStyle name="20% - Accent2 2 2 2 4" xfId="259"/>
    <cellStyle name="20% - Accent2 2 2 2 4 2" xfId="260"/>
    <cellStyle name="20% - Accent2 2 2 2 4_15% shr of costs" xfId="3909"/>
    <cellStyle name="20% - Accent2 2 2 2 5" xfId="261"/>
    <cellStyle name="20% - Accent2 2 2 2 6" xfId="262"/>
    <cellStyle name="20% - Accent2 2 2 2 7" xfId="263"/>
    <cellStyle name="20% - Accent2 2 2 2_15% shr of costs" xfId="3906"/>
    <cellStyle name="20% - Accent2 2 2 3" xfId="264"/>
    <cellStyle name="20% - Accent2 2 2 3 2" xfId="265"/>
    <cellStyle name="20% - Accent2 2 2 3 3" xfId="266"/>
    <cellStyle name="20% - Accent2 2 2 3 4" xfId="267"/>
    <cellStyle name="20% - Accent2 2 2 3_15% shr of costs" xfId="3910"/>
    <cellStyle name="20% - Accent2 2 2 4" xfId="268"/>
    <cellStyle name="20% - Accent2 2 2 4 2" xfId="269"/>
    <cellStyle name="20% - Accent2 2 2 4_15% shr of costs" xfId="3911"/>
    <cellStyle name="20% - Accent2 2 2 5" xfId="270"/>
    <cellStyle name="20% - Accent2 2 2 5 2" xfId="271"/>
    <cellStyle name="20% - Accent2 2 2 5_15% shr of costs" xfId="3912"/>
    <cellStyle name="20% - Accent2 2 2 6" xfId="272"/>
    <cellStyle name="20% - Accent2 2 2 7" xfId="273"/>
    <cellStyle name="20% - Accent2 2 2 8" xfId="274"/>
    <cellStyle name="20% - Accent2 2 2_15% shr of costs" xfId="3905"/>
    <cellStyle name="20% - Accent2 2 3" xfId="275"/>
    <cellStyle name="20% - Accent2 2 3 2" xfId="276"/>
    <cellStyle name="20% - Accent2 2 3 2 2" xfId="277"/>
    <cellStyle name="20% - Accent2 2 3 2 3" xfId="278"/>
    <cellStyle name="20% - Accent2 2 3 2 4" xfId="279"/>
    <cellStyle name="20% - Accent2 2 3 2_15% shr of costs" xfId="3914"/>
    <cellStyle name="20% - Accent2 2 3 3" xfId="280"/>
    <cellStyle name="20% - Accent2 2 3 3 2" xfId="281"/>
    <cellStyle name="20% - Accent2 2 3 3_15% shr of costs" xfId="3915"/>
    <cellStyle name="20% - Accent2 2 3 4" xfId="282"/>
    <cellStyle name="20% - Accent2 2 3 4 2" xfId="283"/>
    <cellStyle name="20% - Accent2 2 3 4_15% shr of costs" xfId="3916"/>
    <cellStyle name="20% - Accent2 2 3 5" xfId="284"/>
    <cellStyle name="20% - Accent2 2 3 6" xfId="285"/>
    <cellStyle name="20% - Accent2 2 3 7" xfId="286"/>
    <cellStyle name="20% - Accent2 2 3_15% shr of costs" xfId="3913"/>
    <cellStyle name="20% - Accent2 2 4" xfId="287"/>
    <cellStyle name="20% - Accent2 2 4 2" xfId="288"/>
    <cellStyle name="20% - Accent2 2 4 3" xfId="289"/>
    <cellStyle name="20% - Accent2 2 4 4" xfId="290"/>
    <cellStyle name="20% - Accent2 2 4_15% shr of costs" xfId="3917"/>
    <cellStyle name="20% - Accent2 2 5" xfId="291"/>
    <cellStyle name="20% - Accent2 2 5 2" xfId="292"/>
    <cellStyle name="20% - Accent2 2 5_15% shr of costs" xfId="3918"/>
    <cellStyle name="20% - Accent2 2 6" xfId="293"/>
    <cellStyle name="20% - Accent2 2 6 2" xfId="294"/>
    <cellStyle name="20% - Accent2 2 6_15% shr of costs" xfId="3919"/>
    <cellStyle name="20% - Accent2 2 7" xfId="295"/>
    <cellStyle name="20% - Accent2 2 8" xfId="296"/>
    <cellStyle name="20% - Accent2 2 9" xfId="297"/>
    <cellStyle name="20% - Accent2 3" xfId="298"/>
    <cellStyle name="20% - Accent2 3 2" xfId="299"/>
    <cellStyle name="20% - Accent2 3 2 2" xfId="300"/>
    <cellStyle name="20% - Accent2 3 2 2 2" xfId="301"/>
    <cellStyle name="20% - Accent2 3 2 2 3" xfId="302"/>
    <cellStyle name="20% - Accent2 3 2 2 4" xfId="303"/>
    <cellStyle name="20% - Accent2 3 2 2 5" xfId="304"/>
    <cellStyle name="20% - Accent2 3 2 2_15% shr of costs" xfId="3922"/>
    <cellStyle name="20% - Accent2 3 2 3" xfId="305"/>
    <cellStyle name="20% - Accent2 3 2 3 2" xfId="306"/>
    <cellStyle name="20% - Accent2 3 2 3_15% shr of costs" xfId="3923"/>
    <cellStyle name="20% - Accent2 3 2 4" xfId="307"/>
    <cellStyle name="20% - Accent2 3 2 4 2" xfId="308"/>
    <cellStyle name="20% - Accent2 3 2 4_15% shr of costs" xfId="3924"/>
    <cellStyle name="20% - Accent2 3 2 5" xfId="309"/>
    <cellStyle name="20% - Accent2 3 2 6" xfId="310"/>
    <cellStyle name="20% - Accent2 3 2 7" xfId="311"/>
    <cellStyle name="20% - Accent2 3 2_15% shr of costs" xfId="3921"/>
    <cellStyle name="20% - Accent2 3 3" xfId="312"/>
    <cellStyle name="20% - Accent2 3 3 2" xfId="313"/>
    <cellStyle name="20% - Accent2 3 3 3" xfId="314"/>
    <cellStyle name="20% - Accent2 3 3 4" xfId="315"/>
    <cellStyle name="20% - Accent2 3 3 5" xfId="316"/>
    <cellStyle name="20% - Accent2 3 3_15% shr of costs" xfId="3925"/>
    <cellStyle name="20% - Accent2 3 4" xfId="317"/>
    <cellStyle name="20% - Accent2 3 4 2" xfId="318"/>
    <cellStyle name="20% - Accent2 3 4_15% shr of costs" xfId="3926"/>
    <cellStyle name="20% - Accent2 3 5" xfId="319"/>
    <cellStyle name="20% - Accent2 3 5 2" xfId="320"/>
    <cellStyle name="20% - Accent2 3 5_15% shr of costs" xfId="3927"/>
    <cellStyle name="20% - Accent2 3 6" xfId="321"/>
    <cellStyle name="20% - Accent2 3 7" xfId="322"/>
    <cellStyle name="20% - Accent2 3 8" xfId="323"/>
    <cellStyle name="20% - Accent2 3_15% shr of costs" xfId="3920"/>
    <cellStyle name="20% - Accent2 4" xfId="324"/>
    <cellStyle name="20% - Accent2 4 2" xfId="325"/>
    <cellStyle name="20% - Accent2 4 2 2" xfId="326"/>
    <cellStyle name="20% - Accent2 4 2 2 2" xfId="327"/>
    <cellStyle name="20% - Accent2 4 2 2 3" xfId="328"/>
    <cellStyle name="20% - Accent2 4 2 2 4" xfId="329"/>
    <cellStyle name="20% - Accent2 4 2 2 5" xfId="330"/>
    <cellStyle name="20% - Accent2 4 2 2_15% shr of costs" xfId="3930"/>
    <cellStyle name="20% - Accent2 4 2 3" xfId="331"/>
    <cellStyle name="20% - Accent2 4 2 4" xfId="332"/>
    <cellStyle name="20% - Accent2 4 2 5" xfId="333"/>
    <cellStyle name="20% - Accent2 4 2 6" xfId="334"/>
    <cellStyle name="20% - Accent2 4 2_15% shr of costs" xfId="3929"/>
    <cellStyle name="20% - Accent2 4 3" xfId="335"/>
    <cellStyle name="20% - Accent2 4 3 2" xfId="336"/>
    <cellStyle name="20% - Accent2 4 3 3" xfId="337"/>
    <cellStyle name="20% - Accent2 4 3 4" xfId="338"/>
    <cellStyle name="20% - Accent2 4 3 5" xfId="339"/>
    <cellStyle name="20% - Accent2 4 3_15% shr of costs" xfId="3931"/>
    <cellStyle name="20% - Accent2 4 4" xfId="340"/>
    <cellStyle name="20% - Accent2 4 4 2" xfId="341"/>
    <cellStyle name="20% - Accent2 4 4_15% shr of costs" xfId="3932"/>
    <cellStyle name="20% - Accent2 4 5" xfId="342"/>
    <cellStyle name="20% - Accent2 4 6" xfId="343"/>
    <cellStyle name="20% - Accent2 4 7" xfId="344"/>
    <cellStyle name="20% - Accent2 4_15% shr of costs" xfId="3928"/>
    <cellStyle name="20% - Accent2 5" xfId="345"/>
    <cellStyle name="20% - Accent2 5 2" xfId="346"/>
    <cellStyle name="20% - Accent2 5 2 2" xfId="347"/>
    <cellStyle name="20% - Accent2 5 2 2 2" xfId="348"/>
    <cellStyle name="20% - Accent2 5 2 2 3" xfId="349"/>
    <cellStyle name="20% - Accent2 5 2 2 4" xfId="350"/>
    <cellStyle name="20% - Accent2 5 2 2 5" xfId="351"/>
    <cellStyle name="20% - Accent2 5 2 2_15% shr of costs" xfId="3935"/>
    <cellStyle name="20% - Accent2 5 2 3" xfId="352"/>
    <cellStyle name="20% - Accent2 5 2 4" xfId="353"/>
    <cellStyle name="20% - Accent2 5 2 5" xfId="354"/>
    <cellStyle name="20% - Accent2 5 2 6" xfId="355"/>
    <cellStyle name="20% - Accent2 5 2_15% shr of costs" xfId="3934"/>
    <cellStyle name="20% - Accent2 5 3" xfId="356"/>
    <cellStyle name="20% - Accent2 5 3 2" xfId="357"/>
    <cellStyle name="20% - Accent2 5 3 3" xfId="358"/>
    <cellStyle name="20% - Accent2 5 3 4" xfId="359"/>
    <cellStyle name="20% - Accent2 5 3 5" xfId="360"/>
    <cellStyle name="20% - Accent2 5 3_15% shr of costs" xfId="3936"/>
    <cellStyle name="20% - Accent2 5 4" xfId="361"/>
    <cellStyle name="20% - Accent2 5 5" xfId="362"/>
    <cellStyle name="20% - Accent2 5 6" xfId="363"/>
    <cellStyle name="20% - Accent2 5 7" xfId="364"/>
    <cellStyle name="20% - Accent2 5_15% shr of costs" xfId="3933"/>
    <cellStyle name="20% - Accent2 6" xfId="365"/>
    <cellStyle name="20% - Accent2 6 2" xfId="366"/>
    <cellStyle name="20% - Accent2 6 2 2" xfId="367"/>
    <cellStyle name="20% - Accent2 6 2 2 2" xfId="368"/>
    <cellStyle name="20% - Accent2 6 2 2 3" xfId="369"/>
    <cellStyle name="20% - Accent2 6 2 2 4" xfId="370"/>
    <cellStyle name="20% - Accent2 6 2 2 5" xfId="371"/>
    <cellStyle name="20% - Accent2 6 2 2_15% shr of costs" xfId="3939"/>
    <cellStyle name="20% - Accent2 6 2 3" xfId="372"/>
    <cellStyle name="20% - Accent2 6 2 4" xfId="373"/>
    <cellStyle name="20% - Accent2 6 2 5" xfId="374"/>
    <cellStyle name="20% - Accent2 6 2 6" xfId="375"/>
    <cellStyle name="20% - Accent2 6 2_15% shr of costs" xfId="3938"/>
    <cellStyle name="20% - Accent2 6 3" xfId="376"/>
    <cellStyle name="20% - Accent2 6 3 2" xfId="377"/>
    <cellStyle name="20% - Accent2 6 3 3" xfId="378"/>
    <cellStyle name="20% - Accent2 6 3 4" xfId="379"/>
    <cellStyle name="20% - Accent2 6 3 5" xfId="380"/>
    <cellStyle name="20% - Accent2 6 3_15% shr of costs" xfId="3940"/>
    <cellStyle name="20% - Accent2 6 4" xfId="381"/>
    <cellStyle name="20% - Accent2 6 5" xfId="382"/>
    <cellStyle name="20% - Accent2 6 6" xfId="383"/>
    <cellStyle name="20% - Accent2 6 7" xfId="384"/>
    <cellStyle name="20% - Accent2 6_15% shr of costs" xfId="3937"/>
    <cellStyle name="20% - Accent2 7" xfId="385"/>
    <cellStyle name="20% - Accent2 7 2" xfId="386"/>
    <cellStyle name="20% - Accent2 7 2 2" xfId="387"/>
    <cellStyle name="20% - Accent2 7 2 2 2" xfId="388"/>
    <cellStyle name="20% - Accent2 7 2 2 3" xfId="389"/>
    <cellStyle name="20% - Accent2 7 2 2 4" xfId="390"/>
    <cellStyle name="20% - Accent2 7 2 2 5" xfId="391"/>
    <cellStyle name="20% - Accent2 7 2 2_15% shr of costs" xfId="3943"/>
    <cellStyle name="20% - Accent2 7 2 3" xfId="392"/>
    <cellStyle name="20% - Accent2 7 2 4" xfId="393"/>
    <cellStyle name="20% - Accent2 7 2 5" xfId="394"/>
    <cellStyle name="20% - Accent2 7 2 6" xfId="395"/>
    <cellStyle name="20% - Accent2 7 2_15% shr of costs" xfId="3942"/>
    <cellStyle name="20% - Accent2 7 3" xfId="396"/>
    <cellStyle name="20% - Accent2 7 3 2" xfId="397"/>
    <cellStyle name="20% - Accent2 7 3 3" xfId="398"/>
    <cellStyle name="20% - Accent2 7 3 4" xfId="399"/>
    <cellStyle name="20% - Accent2 7 3 5" xfId="400"/>
    <cellStyle name="20% - Accent2 7 3_15% shr of costs" xfId="3944"/>
    <cellStyle name="20% - Accent2 7 4" xfId="401"/>
    <cellStyle name="20% - Accent2 7 5" xfId="402"/>
    <cellStyle name="20% - Accent2 7 6" xfId="403"/>
    <cellStyle name="20% - Accent2 7 7" xfId="404"/>
    <cellStyle name="20% - Accent2 7_15% shr of costs" xfId="3941"/>
    <cellStyle name="20% - Accent2 8" xfId="405"/>
    <cellStyle name="20% - Accent2 8 2" xfId="406"/>
    <cellStyle name="20% - Accent2 8 2 2" xfId="407"/>
    <cellStyle name="20% - Accent2 8 2 2 2" xfId="408"/>
    <cellStyle name="20% - Accent2 8 2 2 3" xfId="409"/>
    <cellStyle name="20% - Accent2 8 2 2 4" xfId="410"/>
    <cellStyle name="20% - Accent2 8 2 2 5" xfId="411"/>
    <cellStyle name="20% - Accent2 8 2 2_15% shr of costs" xfId="3947"/>
    <cellStyle name="20% - Accent2 8 2 3" xfId="412"/>
    <cellStyle name="20% - Accent2 8 2 4" xfId="413"/>
    <cellStyle name="20% - Accent2 8 2 5" xfId="414"/>
    <cellStyle name="20% - Accent2 8 2 6" xfId="415"/>
    <cellStyle name="20% - Accent2 8 2_15% shr of costs" xfId="3946"/>
    <cellStyle name="20% - Accent2 8 3" xfId="416"/>
    <cellStyle name="20% - Accent2 8 3 2" xfId="417"/>
    <cellStyle name="20% - Accent2 8 3 3" xfId="418"/>
    <cellStyle name="20% - Accent2 8 3 4" xfId="419"/>
    <cellStyle name="20% - Accent2 8 3 5" xfId="420"/>
    <cellStyle name="20% - Accent2 8 3_15% shr of costs" xfId="3948"/>
    <cellStyle name="20% - Accent2 8 4" xfId="421"/>
    <cellStyle name="20% - Accent2 8 5" xfId="422"/>
    <cellStyle name="20% - Accent2 8 6" xfId="423"/>
    <cellStyle name="20% - Accent2 8 7" xfId="424"/>
    <cellStyle name="20% - Accent2 8_15% shr of costs" xfId="3945"/>
    <cellStyle name="20% - Accent2 9" xfId="425"/>
    <cellStyle name="20% - Accent2 9 2" xfId="426"/>
    <cellStyle name="20% - Accent2 9 2 2" xfId="427"/>
    <cellStyle name="20% - Accent2 9 2 3" xfId="428"/>
    <cellStyle name="20% - Accent2 9 2 4" xfId="429"/>
    <cellStyle name="20% - Accent2 9 2 5" xfId="430"/>
    <cellStyle name="20% - Accent2 9 2_15% shr of costs" xfId="3950"/>
    <cellStyle name="20% - Accent2 9 3" xfId="431"/>
    <cellStyle name="20% - Accent2 9 4" xfId="432"/>
    <cellStyle name="20% - Accent2 9 5" xfId="433"/>
    <cellStyle name="20% - Accent2 9 6" xfId="434"/>
    <cellStyle name="20% - Accent2 9_15% shr of costs" xfId="3949"/>
    <cellStyle name="20% - Accent3 10" xfId="435"/>
    <cellStyle name="20% - Accent3 10 2" xfId="436"/>
    <cellStyle name="20% - Accent3 10 3" xfId="437"/>
    <cellStyle name="20% - Accent3 10 4" xfId="438"/>
    <cellStyle name="20% - Accent3 10 5" xfId="439"/>
    <cellStyle name="20% - Accent3 10_15% shr of costs" xfId="3951"/>
    <cellStyle name="20% - Accent3 11" xfId="440"/>
    <cellStyle name="20% - Accent3 11 2" xfId="441"/>
    <cellStyle name="20% - Accent3 11 3" xfId="442"/>
    <cellStyle name="20% - Accent3 11 4" xfId="443"/>
    <cellStyle name="20% - Accent3 11 5" xfId="444"/>
    <cellStyle name="20% - Accent3 11_15% shr of costs" xfId="3952"/>
    <cellStyle name="20% - Accent3 12" xfId="445"/>
    <cellStyle name="20% - Accent3 12 2" xfId="446"/>
    <cellStyle name="20% - Accent3 12 3" xfId="447"/>
    <cellStyle name="20% - Accent3 12 4" xfId="448"/>
    <cellStyle name="20% - Accent3 12_15% shr of costs" xfId="3953"/>
    <cellStyle name="20% - Accent3 13" xfId="449"/>
    <cellStyle name="20% - Accent3 13 2" xfId="450"/>
    <cellStyle name="20% - Accent3 13 3" xfId="451"/>
    <cellStyle name="20% - Accent3 13 4" xfId="452"/>
    <cellStyle name="20% - Accent3 13_15% shr of costs" xfId="3954"/>
    <cellStyle name="20% - Accent3 14" xfId="453"/>
    <cellStyle name="20% - Accent3 14 2" xfId="454"/>
    <cellStyle name="20% - Accent3 14 3" xfId="455"/>
    <cellStyle name="20% - Accent3 14 4" xfId="456"/>
    <cellStyle name="20% - Accent3 14_15% shr of costs" xfId="3955"/>
    <cellStyle name="20% - Accent3 15" xfId="457"/>
    <cellStyle name="20% - Accent3 15 2" xfId="458"/>
    <cellStyle name="20% - Accent3 15 3" xfId="459"/>
    <cellStyle name="20% - Accent3 15_15% shr of costs" xfId="3956"/>
    <cellStyle name="20% - Accent3 16" xfId="460"/>
    <cellStyle name="20% - Accent3 17" xfId="461"/>
    <cellStyle name="20% - Accent3 2" xfId="462"/>
    <cellStyle name="20% - Accent3 2 2" xfId="463"/>
    <cellStyle name="20% - Accent3 2 2 2" xfId="464"/>
    <cellStyle name="20% - Accent3 2 2 2 2" xfId="465"/>
    <cellStyle name="20% - Accent3 2 2 2 2 2" xfId="466"/>
    <cellStyle name="20% - Accent3 2 2 2 2 3" xfId="467"/>
    <cellStyle name="20% - Accent3 2 2 2 2 4" xfId="468"/>
    <cellStyle name="20% - Accent3 2 2 2 2_15% shr of costs" xfId="3959"/>
    <cellStyle name="20% - Accent3 2 2 2 3" xfId="469"/>
    <cellStyle name="20% - Accent3 2 2 2 3 2" xfId="470"/>
    <cellStyle name="20% - Accent3 2 2 2 3_15% shr of costs" xfId="3960"/>
    <cellStyle name="20% - Accent3 2 2 2 4" xfId="471"/>
    <cellStyle name="20% - Accent3 2 2 2 4 2" xfId="472"/>
    <cellStyle name="20% - Accent3 2 2 2 4_15% shr of costs" xfId="3961"/>
    <cellStyle name="20% - Accent3 2 2 2 5" xfId="473"/>
    <cellStyle name="20% - Accent3 2 2 2 6" xfId="474"/>
    <cellStyle name="20% - Accent3 2 2 2 7" xfId="475"/>
    <cellStyle name="20% - Accent3 2 2 2_15% shr of costs" xfId="3958"/>
    <cellStyle name="20% - Accent3 2 2 3" xfId="476"/>
    <cellStyle name="20% - Accent3 2 2 3 2" xfId="477"/>
    <cellStyle name="20% - Accent3 2 2 3 3" xfId="478"/>
    <cellStyle name="20% - Accent3 2 2 3 4" xfId="479"/>
    <cellStyle name="20% - Accent3 2 2 3_15% shr of costs" xfId="3962"/>
    <cellStyle name="20% - Accent3 2 2 4" xfId="480"/>
    <cellStyle name="20% - Accent3 2 2 4 2" xfId="481"/>
    <cellStyle name="20% - Accent3 2 2 4_15% shr of costs" xfId="3963"/>
    <cellStyle name="20% - Accent3 2 2 5" xfId="482"/>
    <cellStyle name="20% - Accent3 2 2 5 2" xfId="483"/>
    <cellStyle name="20% - Accent3 2 2 5_15% shr of costs" xfId="3964"/>
    <cellStyle name="20% - Accent3 2 2 6" xfId="484"/>
    <cellStyle name="20% - Accent3 2 2 7" xfId="485"/>
    <cellStyle name="20% - Accent3 2 2 8" xfId="486"/>
    <cellStyle name="20% - Accent3 2 2_15% shr of costs" xfId="3957"/>
    <cellStyle name="20% - Accent3 2 3" xfId="487"/>
    <cellStyle name="20% - Accent3 2 3 2" xfId="488"/>
    <cellStyle name="20% - Accent3 2 3 2 2" xfId="489"/>
    <cellStyle name="20% - Accent3 2 3 2 3" xfId="490"/>
    <cellStyle name="20% - Accent3 2 3 2 4" xfId="491"/>
    <cellStyle name="20% - Accent3 2 3 2_15% shr of costs" xfId="3966"/>
    <cellStyle name="20% - Accent3 2 3 3" xfId="492"/>
    <cellStyle name="20% - Accent3 2 3 3 2" xfId="493"/>
    <cellStyle name="20% - Accent3 2 3 3_15% shr of costs" xfId="3967"/>
    <cellStyle name="20% - Accent3 2 3 4" xfId="494"/>
    <cellStyle name="20% - Accent3 2 3 4 2" xfId="495"/>
    <cellStyle name="20% - Accent3 2 3 4_15% shr of costs" xfId="3968"/>
    <cellStyle name="20% - Accent3 2 3 5" xfId="496"/>
    <cellStyle name="20% - Accent3 2 3 6" xfId="497"/>
    <cellStyle name="20% - Accent3 2 3 7" xfId="498"/>
    <cellStyle name="20% - Accent3 2 3_15% shr of costs" xfId="3965"/>
    <cellStyle name="20% - Accent3 2 4" xfId="499"/>
    <cellStyle name="20% - Accent3 2 4 2" xfId="500"/>
    <cellStyle name="20% - Accent3 2 4 3" xfId="501"/>
    <cellStyle name="20% - Accent3 2 4 4" xfId="502"/>
    <cellStyle name="20% - Accent3 2 4_15% shr of costs" xfId="3969"/>
    <cellStyle name="20% - Accent3 2 5" xfId="503"/>
    <cellStyle name="20% - Accent3 2 5 2" xfId="504"/>
    <cellStyle name="20% - Accent3 2 5_15% shr of costs" xfId="3970"/>
    <cellStyle name="20% - Accent3 2 6" xfId="505"/>
    <cellStyle name="20% - Accent3 2 6 2" xfId="506"/>
    <cellStyle name="20% - Accent3 2 6_15% shr of costs" xfId="3971"/>
    <cellStyle name="20% - Accent3 2 7" xfId="507"/>
    <cellStyle name="20% - Accent3 2 8" xfId="508"/>
    <cellStyle name="20% - Accent3 2 9" xfId="509"/>
    <cellStyle name="20% - Accent3 3" xfId="510"/>
    <cellStyle name="20% - Accent3 3 2" xfId="511"/>
    <cellStyle name="20% - Accent3 3 2 2" xfId="512"/>
    <cellStyle name="20% - Accent3 3 2 2 2" xfId="513"/>
    <cellStyle name="20% - Accent3 3 2 2 3" xfId="514"/>
    <cellStyle name="20% - Accent3 3 2 2 4" xfId="515"/>
    <cellStyle name="20% - Accent3 3 2 2 5" xfId="516"/>
    <cellStyle name="20% - Accent3 3 2 2_15% shr of costs" xfId="3974"/>
    <cellStyle name="20% - Accent3 3 2 3" xfId="517"/>
    <cellStyle name="20% - Accent3 3 2 3 2" xfId="518"/>
    <cellStyle name="20% - Accent3 3 2 3_15% shr of costs" xfId="3975"/>
    <cellStyle name="20% - Accent3 3 2 4" xfId="519"/>
    <cellStyle name="20% - Accent3 3 2 4 2" xfId="520"/>
    <cellStyle name="20% - Accent3 3 2 4_15% shr of costs" xfId="3976"/>
    <cellStyle name="20% - Accent3 3 2 5" xfId="521"/>
    <cellStyle name="20% - Accent3 3 2 6" xfId="522"/>
    <cellStyle name="20% - Accent3 3 2 7" xfId="523"/>
    <cellStyle name="20% - Accent3 3 2_15% shr of costs" xfId="3973"/>
    <cellStyle name="20% - Accent3 3 3" xfId="524"/>
    <cellStyle name="20% - Accent3 3 3 2" xfId="525"/>
    <cellStyle name="20% - Accent3 3 3 3" xfId="526"/>
    <cellStyle name="20% - Accent3 3 3 4" xfId="527"/>
    <cellStyle name="20% - Accent3 3 3 5" xfId="528"/>
    <cellStyle name="20% - Accent3 3 3_15% shr of costs" xfId="3977"/>
    <cellStyle name="20% - Accent3 3 4" xfId="529"/>
    <cellStyle name="20% - Accent3 3 4 2" xfId="530"/>
    <cellStyle name="20% - Accent3 3 4_15% shr of costs" xfId="3978"/>
    <cellStyle name="20% - Accent3 3 5" xfId="531"/>
    <cellStyle name="20% - Accent3 3 5 2" xfId="532"/>
    <cellStyle name="20% - Accent3 3 5_15% shr of costs" xfId="3979"/>
    <cellStyle name="20% - Accent3 3 6" xfId="533"/>
    <cellStyle name="20% - Accent3 3 7" xfId="534"/>
    <cellStyle name="20% - Accent3 3 8" xfId="535"/>
    <cellStyle name="20% - Accent3 3_15% shr of costs" xfId="3972"/>
    <cellStyle name="20% - Accent3 4" xfId="536"/>
    <cellStyle name="20% - Accent3 4 2" xfId="537"/>
    <cellStyle name="20% - Accent3 4 2 2" xfId="538"/>
    <cellStyle name="20% - Accent3 4 2 2 2" xfId="539"/>
    <cellStyle name="20% - Accent3 4 2 2 3" xfId="540"/>
    <cellStyle name="20% - Accent3 4 2 2 4" xfId="541"/>
    <cellStyle name="20% - Accent3 4 2 2 5" xfId="542"/>
    <cellStyle name="20% - Accent3 4 2 2_15% shr of costs" xfId="3982"/>
    <cellStyle name="20% - Accent3 4 2 3" xfId="543"/>
    <cellStyle name="20% - Accent3 4 2 4" xfId="544"/>
    <cellStyle name="20% - Accent3 4 2 5" xfId="545"/>
    <cellStyle name="20% - Accent3 4 2 6" xfId="546"/>
    <cellStyle name="20% - Accent3 4 2_15% shr of costs" xfId="3981"/>
    <cellStyle name="20% - Accent3 4 3" xfId="547"/>
    <cellStyle name="20% - Accent3 4 3 2" xfId="548"/>
    <cellStyle name="20% - Accent3 4 3 3" xfId="549"/>
    <cellStyle name="20% - Accent3 4 3 4" xfId="550"/>
    <cellStyle name="20% - Accent3 4 3 5" xfId="551"/>
    <cellStyle name="20% - Accent3 4 3_15% shr of costs" xfId="3983"/>
    <cellStyle name="20% - Accent3 4 4" xfId="552"/>
    <cellStyle name="20% - Accent3 4 4 2" xfId="553"/>
    <cellStyle name="20% - Accent3 4 4_15% shr of costs" xfId="3984"/>
    <cellStyle name="20% - Accent3 4 5" xfId="554"/>
    <cellStyle name="20% - Accent3 4 6" xfId="555"/>
    <cellStyle name="20% - Accent3 4 7" xfId="556"/>
    <cellStyle name="20% - Accent3 4_15% shr of costs" xfId="3980"/>
    <cellStyle name="20% - Accent3 5" xfId="557"/>
    <cellStyle name="20% - Accent3 5 2" xfId="558"/>
    <cellStyle name="20% - Accent3 5 2 2" xfId="559"/>
    <cellStyle name="20% - Accent3 5 2 2 2" xfId="560"/>
    <cellStyle name="20% - Accent3 5 2 2 3" xfId="561"/>
    <cellStyle name="20% - Accent3 5 2 2 4" xfId="562"/>
    <cellStyle name="20% - Accent3 5 2 2 5" xfId="563"/>
    <cellStyle name="20% - Accent3 5 2 2_15% shr of costs" xfId="3987"/>
    <cellStyle name="20% - Accent3 5 2 3" xfId="564"/>
    <cellStyle name="20% - Accent3 5 2 4" xfId="565"/>
    <cellStyle name="20% - Accent3 5 2 5" xfId="566"/>
    <cellStyle name="20% - Accent3 5 2 6" xfId="567"/>
    <cellStyle name="20% - Accent3 5 2_15% shr of costs" xfId="3986"/>
    <cellStyle name="20% - Accent3 5 3" xfId="568"/>
    <cellStyle name="20% - Accent3 5 3 2" xfId="569"/>
    <cellStyle name="20% - Accent3 5 3 3" xfId="570"/>
    <cellStyle name="20% - Accent3 5 3 4" xfId="571"/>
    <cellStyle name="20% - Accent3 5 3 5" xfId="572"/>
    <cellStyle name="20% - Accent3 5 3_15% shr of costs" xfId="3988"/>
    <cellStyle name="20% - Accent3 5 4" xfId="573"/>
    <cellStyle name="20% - Accent3 5 5" xfId="574"/>
    <cellStyle name="20% - Accent3 5 6" xfId="575"/>
    <cellStyle name="20% - Accent3 5 7" xfId="576"/>
    <cellStyle name="20% - Accent3 5_15% shr of costs" xfId="3985"/>
    <cellStyle name="20% - Accent3 6" xfId="577"/>
    <cellStyle name="20% - Accent3 6 2" xfId="578"/>
    <cellStyle name="20% - Accent3 6 2 2" xfId="579"/>
    <cellStyle name="20% - Accent3 6 2 2 2" xfId="580"/>
    <cellStyle name="20% - Accent3 6 2 2 3" xfId="581"/>
    <cellStyle name="20% - Accent3 6 2 2 4" xfId="582"/>
    <cellStyle name="20% - Accent3 6 2 2 5" xfId="583"/>
    <cellStyle name="20% - Accent3 6 2 2_15% shr of costs" xfId="3991"/>
    <cellStyle name="20% - Accent3 6 2 3" xfId="584"/>
    <cellStyle name="20% - Accent3 6 2 4" xfId="585"/>
    <cellStyle name="20% - Accent3 6 2 5" xfId="586"/>
    <cellStyle name="20% - Accent3 6 2 6" xfId="587"/>
    <cellStyle name="20% - Accent3 6 2_15% shr of costs" xfId="3990"/>
    <cellStyle name="20% - Accent3 6 3" xfId="588"/>
    <cellStyle name="20% - Accent3 6 3 2" xfId="589"/>
    <cellStyle name="20% - Accent3 6 3 3" xfId="590"/>
    <cellStyle name="20% - Accent3 6 3 4" xfId="591"/>
    <cellStyle name="20% - Accent3 6 3 5" xfId="592"/>
    <cellStyle name="20% - Accent3 6 3_15% shr of costs" xfId="3992"/>
    <cellStyle name="20% - Accent3 6 4" xfId="593"/>
    <cellStyle name="20% - Accent3 6 5" xfId="594"/>
    <cellStyle name="20% - Accent3 6 6" xfId="595"/>
    <cellStyle name="20% - Accent3 6 7" xfId="596"/>
    <cellStyle name="20% - Accent3 6_15% shr of costs" xfId="3989"/>
    <cellStyle name="20% - Accent3 7" xfId="597"/>
    <cellStyle name="20% - Accent3 7 2" xfId="598"/>
    <cellStyle name="20% - Accent3 7 2 2" xfId="599"/>
    <cellStyle name="20% - Accent3 7 2 2 2" xfId="600"/>
    <cellStyle name="20% - Accent3 7 2 2 3" xfId="601"/>
    <cellStyle name="20% - Accent3 7 2 2 4" xfId="602"/>
    <cellStyle name="20% - Accent3 7 2 2 5" xfId="603"/>
    <cellStyle name="20% - Accent3 7 2 2_15% shr of costs" xfId="3995"/>
    <cellStyle name="20% - Accent3 7 2 3" xfId="604"/>
    <cellStyle name="20% - Accent3 7 2 4" xfId="605"/>
    <cellStyle name="20% - Accent3 7 2 5" xfId="606"/>
    <cellStyle name="20% - Accent3 7 2 6" xfId="607"/>
    <cellStyle name="20% - Accent3 7 2_15% shr of costs" xfId="3994"/>
    <cellStyle name="20% - Accent3 7 3" xfId="608"/>
    <cellStyle name="20% - Accent3 7 3 2" xfId="609"/>
    <cellStyle name="20% - Accent3 7 3 3" xfId="610"/>
    <cellStyle name="20% - Accent3 7 3 4" xfId="611"/>
    <cellStyle name="20% - Accent3 7 3 5" xfId="612"/>
    <cellStyle name="20% - Accent3 7 3_15% shr of costs" xfId="3996"/>
    <cellStyle name="20% - Accent3 7 4" xfId="613"/>
    <cellStyle name="20% - Accent3 7 5" xfId="614"/>
    <cellStyle name="20% - Accent3 7 6" xfId="615"/>
    <cellStyle name="20% - Accent3 7 7" xfId="616"/>
    <cellStyle name="20% - Accent3 7_15% shr of costs" xfId="3993"/>
    <cellStyle name="20% - Accent3 8" xfId="617"/>
    <cellStyle name="20% - Accent3 8 2" xfId="618"/>
    <cellStyle name="20% - Accent3 8 2 2" xfId="619"/>
    <cellStyle name="20% - Accent3 8 2 2 2" xfId="620"/>
    <cellStyle name="20% - Accent3 8 2 2 3" xfId="621"/>
    <cellStyle name="20% - Accent3 8 2 2 4" xfId="622"/>
    <cellStyle name="20% - Accent3 8 2 2 5" xfId="623"/>
    <cellStyle name="20% - Accent3 8 2 2_15% shr of costs" xfId="3999"/>
    <cellStyle name="20% - Accent3 8 2 3" xfId="624"/>
    <cellStyle name="20% - Accent3 8 2 4" xfId="625"/>
    <cellStyle name="20% - Accent3 8 2 5" xfId="626"/>
    <cellStyle name="20% - Accent3 8 2 6" xfId="627"/>
    <cellStyle name="20% - Accent3 8 2_15% shr of costs" xfId="3998"/>
    <cellStyle name="20% - Accent3 8 3" xfId="628"/>
    <cellStyle name="20% - Accent3 8 3 2" xfId="629"/>
    <cellStyle name="20% - Accent3 8 3 3" xfId="630"/>
    <cellStyle name="20% - Accent3 8 3 4" xfId="631"/>
    <cellStyle name="20% - Accent3 8 3 5" xfId="632"/>
    <cellStyle name="20% - Accent3 8 3_15% shr of costs" xfId="4000"/>
    <cellStyle name="20% - Accent3 8 4" xfId="633"/>
    <cellStyle name="20% - Accent3 8 5" xfId="634"/>
    <cellStyle name="20% - Accent3 8 6" xfId="635"/>
    <cellStyle name="20% - Accent3 8 7" xfId="636"/>
    <cellStyle name="20% - Accent3 8_15% shr of costs" xfId="3997"/>
    <cellStyle name="20% - Accent3 9" xfId="637"/>
    <cellStyle name="20% - Accent3 9 2" xfId="638"/>
    <cellStyle name="20% - Accent3 9 2 2" xfId="639"/>
    <cellStyle name="20% - Accent3 9 2 3" xfId="640"/>
    <cellStyle name="20% - Accent3 9 2 4" xfId="641"/>
    <cellStyle name="20% - Accent3 9 2 5" xfId="642"/>
    <cellStyle name="20% - Accent3 9 2_15% shr of costs" xfId="4002"/>
    <cellStyle name="20% - Accent3 9 3" xfId="643"/>
    <cellStyle name="20% - Accent3 9 4" xfId="644"/>
    <cellStyle name="20% - Accent3 9 5" xfId="645"/>
    <cellStyle name="20% - Accent3 9 6" xfId="646"/>
    <cellStyle name="20% - Accent3 9_15% shr of costs" xfId="4001"/>
    <cellStyle name="20% - Accent4 10" xfId="647"/>
    <cellStyle name="20% - Accent4 10 2" xfId="648"/>
    <cellStyle name="20% - Accent4 10 2 2" xfId="649"/>
    <cellStyle name="20% - Accent4 10 2 3" xfId="650"/>
    <cellStyle name="20% - Accent4 10 2 4" xfId="651"/>
    <cellStyle name="20% - Accent4 10 2 5" xfId="652"/>
    <cellStyle name="20% - Accent4 10 2_15% shr of costs" xfId="4004"/>
    <cellStyle name="20% - Accent4 10 3" xfId="653"/>
    <cellStyle name="20% - Accent4 10 4" xfId="654"/>
    <cellStyle name="20% - Accent4 10 5" xfId="655"/>
    <cellStyle name="20% - Accent4 10 6" xfId="656"/>
    <cellStyle name="20% - Accent4 10_15% shr of costs" xfId="4003"/>
    <cellStyle name="20% - Accent4 11" xfId="657"/>
    <cellStyle name="20% - Accent4 11 2" xfId="658"/>
    <cellStyle name="20% - Accent4 11 3" xfId="659"/>
    <cellStyle name="20% - Accent4 11 4" xfId="660"/>
    <cellStyle name="20% - Accent4 11 5" xfId="661"/>
    <cellStyle name="20% - Accent4 11_15% shr of costs" xfId="4005"/>
    <cellStyle name="20% - Accent4 12" xfId="662"/>
    <cellStyle name="20% - Accent4 12 2" xfId="663"/>
    <cellStyle name="20% - Accent4 12 3" xfId="664"/>
    <cellStyle name="20% - Accent4 12 4" xfId="665"/>
    <cellStyle name="20% - Accent4 12 5" xfId="666"/>
    <cellStyle name="20% - Accent4 12_15% shr of costs" xfId="4006"/>
    <cellStyle name="20% - Accent4 13" xfId="667"/>
    <cellStyle name="20% - Accent4 13 2" xfId="668"/>
    <cellStyle name="20% - Accent4 13 3" xfId="669"/>
    <cellStyle name="20% - Accent4 13 4" xfId="670"/>
    <cellStyle name="20% - Accent4 13_15% shr of costs" xfId="4007"/>
    <cellStyle name="20% - Accent4 14" xfId="671"/>
    <cellStyle name="20% - Accent4 15" xfId="672"/>
    <cellStyle name="20% - Accent4 16" xfId="673"/>
    <cellStyle name="20% - Accent4 2" xfId="674"/>
    <cellStyle name="20% - Accent4 2 2" xfId="675"/>
    <cellStyle name="20% - Accent4 2 2 2" xfId="676"/>
    <cellStyle name="20% - Accent4 2 2 2 2" xfId="677"/>
    <cellStyle name="20% - Accent4 2 2 2 2 2" xfId="678"/>
    <cellStyle name="20% - Accent4 2 2 2 2 2 2" xfId="679"/>
    <cellStyle name="20% - Accent4 2 2 2 2 2 3" xfId="680"/>
    <cellStyle name="20% - Accent4 2 2 2 2 2 4" xfId="681"/>
    <cellStyle name="20% - Accent4 2 2 2 2 2 5" xfId="682"/>
    <cellStyle name="20% - Accent4 2 2 2 2 2_15% shr of costs" xfId="4011"/>
    <cellStyle name="20% - Accent4 2 2 2 2 3" xfId="683"/>
    <cellStyle name="20% - Accent4 2 2 2 2 4" xfId="684"/>
    <cellStyle name="20% - Accent4 2 2 2 2 5" xfId="685"/>
    <cellStyle name="20% - Accent4 2 2 2 2 6" xfId="686"/>
    <cellStyle name="20% - Accent4 2 2 2 2_15% shr of costs" xfId="4010"/>
    <cellStyle name="20% - Accent4 2 2 2 3" xfId="687"/>
    <cellStyle name="20% - Accent4 2 2 2 3 2" xfId="688"/>
    <cellStyle name="20% - Accent4 2 2 2 3 3" xfId="689"/>
    <cellStyle name="20% - Accent4 2 2 2 3 4" xfId="690"/>
    <cellStyle name="20% - Accent4 2 2 2 3 5" xfId="691"/>
    <cellStyle name="20% - Accent4 2 2 2 3_15% shr of costs" xfId="4012"/>
    <cellStyle name="20% - Accent4 2 2 2 4" xfId="692"/>
    <cellStyle name="20% - Accent4 2 2 2 4 2" xfId="693"/>
    <cellStyle name="20% - Accent4 2 2 2 4_15% shr of costs" xfId="4013"/>
    <cellStyle name="20% - Accent4 2 2 2 5" xfId="694"/>
    <cellStyle name="20% - Accent4 2 2 2 6" xfId="695"/>
    <cellStyle name="20% - Accent4 2 2 2 7" xfId="696"/>
    <cellStyle name="20% - Accent4 2 2 2_15% shr of costs" xfId="4009"/>
    <cellStyle name="20% - Accent4 2 2 3" xfId="697"/>
    <cellStyle name="20% - Accent4 2 2 3 2" xfId="698"/>
    <cellStyle name="20% - Accent4 2 2 3 2 2" xfId="699"/>
    <cellStyle name="20% - Accent4 2 2 3 2 2 2" xfId="700"/>
    <cellStyle name="20% - Accent4 2 2 3 2 2 3" xfId="701"/>
    <cellStyle name="20% - Accent4 2 2 3 2 2 4" xfId="702"/>
    <cellStyle name="20% - Accent4 2 2 3 2 2 5" xfId="703"/>
    <cellStyle name="20% - Accent4 2 2 3 2 2_15% shr of costs" xfId="4016"/>
    <cellStyle name="20% - Accent4 2 2 3 2 3" xfId="704"/>
    <cellStyle name="20% - Accent4 2 2 3 2 4" xfId="705"/>
    <cellStyle name="20% - Accent4 2 2 3 2 5" xfId="706"/>
    <cellStyle name="20% - Accent4 2 2 3 2 6" xfId="707"/>
    <cellStyle name="20% - Accent4 2 2 3 2_15% shr of costs" xfId="4015"/>
    <cellStyle name="20% - Accent4 2 2 3 3" xfId="708"/>
    <cellStyle name="20% - Accent4 2 2 3 3 2" xfId="709"/>
    <cellStyle name="20% - Accent4 2 2 3 3 3" xfId="710"/>
    <cellStyle name="20% - Accent4 2 2 3 3 4" xfId="711"/>
    <cellStyle name="20% - Accent4 2 2 3 3 5" xfId="712"/>
    <cellStyle name="20% - Accent4 2 2 3 3_15% shr of costs" xfId="4017"/>
    <cellStyle name="20% - Accent4 2 2 3 4" xfId="713"/>
    <cellStyle name="20% - Accent4 2 2 3 5" xfId="714"/>
    <cellStyle name="20% - Accent4 2 2 3 6" xfId="715"/>
    <cellStyle name="20% - Accent4 2 2 3 7" xfId="716"/>
    <cellStyle name="20% - Accent4 2 2 3_15% shr of costs" xfId="4014"/>
    <cellStyle name="20% - Accent4 2 2 4" xfId="717"/>
    <cellStyle name="20% - Accent4 2 2 4 2" xfId="718"/>
    <cellStyle name="20% - Accent4 2 2 4 2 2" xfId="719"/>
    <cellStyle name="20% - Accent4 2 2 4 2 3" xfId="720"/>
    <cellStyle name="20% - Accent4 2 2 4 2 4" xfId="721"/>
    <cellStyle name="20% - Accent4 2 2 4 2 5" xfId="722"/>
    <cellStyle name="20% - Accent4 2 2 4 2_15% shr of costs" xfId="4019"/>
    <cellStyle name="20% - Accent4 2 2 4 3" xfId="723"/>
    <cellStyle name="20% - Accent4 2 2 4 4" xfId="724"/>
    <cellStyle name="20% - Accent4 2 2 4 5" xfId="725"/>
    <cellStyle name="20% - Accent4 2 2 4 6" xfId="726"/>
    <cellStyle name="20% - Accent4 2 2 4_15% shr of costs" xfId="4018"/>
    <cellStyle name="20% - Accent4 2 2 5" xfId="727"/>
    <cellStyle name="20% - Accent4 2 2 5 2" xfId="728"/>
    <cellStyle name="20% - Accent4 2 2 5 3" xfId="729"/>
    <cellStyle name="20% - Accent4 2 2 5 4" xfId="730"/>
    <cellStyle name="20% - Accent4 2 2 5 5" xfId="731"/>
    <cellStyle name="20% - Accent4 2 2 5_15% shr of costs" xfId="4020"/>
    <cellStyle name="20% - Accent4 2 2 6" xfId="732"/>
    <cellStyle name="20% - Accent4 2 2 7" xfId="733"/>
    <cellStyle name="20% - Accent4 2 2 8" xfId="734"/>
    <cellStyle name="20% - Accent4 2 2 9" xfId="735"/>
    <cellStyle name="20% - Accent4 2 2_15% shr of costs" xfId="4008"/>
    <cellStyle name="20% - Accent4 2 3" xfId="736"/>
    <cellStyle name="20% - Accent4 2 3 2" xfId="737"/>
    <cellStyle name="20% - Accent4 2 3 2 2" xfId="738"/>
    <cellStyle name="20% - Accent4 2 3 2 2 2" xfId="739"/>
    <cellStyle name="20% - Accent4 2 3 2 2 3" xfId="740"/>
    <cellStyle name="20% - Accent4 2 3 2 2 4" xfId="741"/>
    <cellStyle name="20% - Accent4 2 3 2 2 5" xfId="742"/>
    <cellStyle name="20% - Accent4 2 3 2 2_15% shr of costs" xfId="4023"/>
    <cellStyle name="20% - Accent4 2 3 2 3" xfId="743"/>
    <cellStyle name="20% - Accent4 2 3 2 4" xfId="744"/>
    <cellStyle name="20% - Accent4 2 3 2 5" xfId="745"/>
    <cellStyle name="20% - Accent4 2 3 2 6" xfId="746"/>
    <cellStyle name="20% - Accent4 2 3 2_15% shr of costs" xfId="4022"/>
    <cellStyle name="20% - Accent4 2 3 3" xfId="747"/>
    <cellStyle name="20% - Accent4 2 3 3 2" xfId="748"/>
    <cellStyle name="20% - Accent4 2 3 3 3" xfId="749"/>
    <cellStyle name="20% - Accent4 2 3 3 4" xfId="750"/>
    <cellStyle name="20% - Accent4 2 3 3 5" xfId="751"/>
    <cellStyle name="20% - Accent4 2 3 3_15% shr of costs" xfId="4024"/>
    <cellStyle name="20% - Accent4 2 3 4" xfId="752"/>
    <cellStyle name="20% - Accent4 2 3 4 2" xfId="753"/>
    <cellStyle name="20% - Accent4 2 3 4_15% shr of costs" xfId="4025"/>
    <cellStyle name="20% - Accent4 2 3 5" xfId="754"/>
    <cellStyle name="20% - Accent4 2 3 6" xfId="755"/>
    <cellStyle name="20% - Accent4 2 3 7" xfId="756"/>
    <cellStyle name="20% - Accent4 2 3_15% shr of costs" xfId="4021"/>
    <cellStyle name="20% - Accent4 2 4" xfId="757"/>
    <cellStyle name="20% - Accent4 2 4 2" xfId="758"/>
    <cellStyle name="20% - Accent4 2 4 2 2" xfId="759"/>
    <cellStyle name="20% - Accent4 2 4 2 2 2" xfId="760"/>
    <cellStyle name="20% - Accent4 2 4 2 2 3" xfId="761"/>
    <cellStyle name="20% - Accent4 2 4 2 2 4" xfId="762"/>
    <cellStyle name="20% - Accent4 2 4 2 2 5" xfId="763"/>
    <cellStyle name="20% - Accent4 2 4 2 2_15% shr of costs" xfId="4028"/>
    <cellStyle name="20% - Accent4 2 4 2 3" xfId="764"/>
    <cellStyle name="20% - Accent4 2 4 2 4" xfId="765"/>
    <cellStyle name="20% - Accent4 2 4 2 5" xfId="766"/>
    <cellStyle name="20% - Accent4 2 4 2 6" xfId="767"/>
    <cellStyle name="20% - Accent4 2 4 2_15% shr of costs" xfId="4027"/>
    <cellStyle name="20% - Accent4 2 4 3" xfId="768"/>
    <cellStyle name="20% - Accent4 2 4 3 2" xfId="769"/>
    <cellStyle name="20% - Accent4 2 4 3 3" xfId="770"/>
    <cellStyle name="20% - Accent4 2 4 3 4" xfId="771"/>
    <cellStyle name="20% - Accent4 2 4 3 5" xfId="772"/>
    <cellStyle name="20% - Accent4 2 4 3_15% shr of costs" xfId="4029"/>
    <cellStyle name="20% - Accent4 2 4 4" xfId="773"/>
    <cellStyle name="20% - Accent4 2 4 5" xfId="774"/>
    <cellStyle name="20% - Accent4 2 4 6" xfId="775"/>
    <cellStyle name="20% - Accent4 2 4 7" xfId="776"/>
    <cellStyle name="20% - Accent4 2 4_15% shr of costs" xfId="4026"/>
    <cellStyle name="20% - Accent4 2 5" xfId="777"/>
    <cellStyle name="20% - Accent4 2 5 2" xfId="778"/>
    <cellStyle name="20% - Accent4 2 5 2 2" xfId="779"/>
    <cellStyle name="20% - Accent4 2 5 2 2 2" xfId="780"/>
    <cellStyle name="20% - Accent4 2 5 2 2 3" xfId="781"/>
    <cellStyle name="20% - Accent4 2 5 2 2 4" xfId="782"/>
    <cellStyle name="20% - Accent4 2 5 2 2 5" xfId="783"/>
    <cellStyle name="20% - Accent4 2 5 2 2_15% shr of costs" xfId="4032"/>
    <cellStyle name="20% - Accent4 2 5 2 3" xfId="784"/>
    <cellStyle name="20% - Accent4 2 5 2 4" xfId="785"/>
    <cellStyle name="20% - Accent4 2 5 2 5" xfId="786"/>
    <cellStyle name="20% - Accent4 2 5 2 6" xfId="787"/>
    <cellStyle name="20% - Accent4 2 5 2_15% shr of costs" xfId="4031"/>
    <cellStyle name="20% - Accent4 2 5 3" xfId="788"/>
    <cellStyle name="20% - Accent4 2 5 3 2" xfId="789"/>
    <cellStyle name="20% - Accent4 2 5 3 3" xfId="790"/>
    <cellStyle name="20% - Accent4 2 5 3 4" xfId="791"/>
    <cellStyle name="20% - Accent4 2 5 3 5" xfId="792"/>
    <cellStyle name="20% - Accent4 2 5 3_15% shr of costs" xfId="4033"/>
    <cellStyle name="20% - Accent4 2 5 4" xfId="793"/>
    <cellStyle name="20% - Accent4 2 5 5" xfId="794"/>
    <cellStyle name="20% - Accent4 2 5 6" xfId="795"/>
    <cellStyle name="20% - Accent4 2 5 7" xfId="796"/>
    <cellStyle name="20% - Accent4 2 5_15% shr of costs" xfId="4030"/>
    <cellStyle name="20% - Accent4 2 6" xfId="797"/>
    <cellStyle name="20% - Accent4 2 6 2" xfId="798"/>
    <cellStyle name="20% - Accent4 2 6 2 2" xfId="799"/>
    <cellStyle name="20% - Accent4 2 6 2 2 2" xfId="800"/>
    <cellStyle name="20% - Accent4 2 6 2 2 3" xfId="801"/>
    <cellStyle name="20% - Accent4 2 6 2 2 4" xfId="802"/>
    <cellStyle name="20% - Accent4 2 6 2 2 5" xfId="803"/>
    <cellStyle name="20% - Accent4 2 6 2 2_15% shr of costs" xfId="4036"/>
    <cellStyle name="20% - Accent4 2 6 2 3" xfId="804"/>
    <cellStyle name="20% - Accent4 2 6 2 4" xfId="805"/>
    <cellStyle name="20% - Accent4 2 6 2 5" xfId="806"/>
    <cellStyle name="20% - Accent4 2 6 2 6" xfId="807"/>
    <cellStyle name="20% - Accent4 2 6 2_15% shr of costs" xfId="4035"/>
    <cellStyle name="20% - Accent4 2 6 3" xfId="808"/>
    <cellStyle name="20% - Accent4 2 6 3 2" xfId="809"/>
    <cellStyle name="20% - Accent4 2 6 3 3" xfId="810"/>
    <cellStyle name="20% - Accent4 2 6 3 4" xfId="811"/>
    <cellStyle name="20% - Accent4 2 6 3 5" xfId="812"/>
    <cellStyle name="20% - Accent4 2 6 3_15% shr of costs" xfId="4037"/>
    <cellStyle name="20% - Accent4 2 6 4" xfId="813"/>
    <cellStyle name="20% - Accent4 2 6 5" xfId="814"/>
    <cellStyle name="20% - Accent4 2 6 6" xfId="815"/>
    <cellStyle name="20% - Accent4 2 6 7" xfId="816"/>
    <cellStyle name="20% - Accent4 2 6_15% shr of costs" xfId="4034"/>
    <cellStyle name="20% - Accent4 2 7" xfId="817"/>
    <cellStyle name="20% - Accent4 2 7 2" xfId="818"/>
    <cellStyle name="20% - Accent4 2 7 3" xfId="819"/>
    <cellStyle name="20% - Accent4 2 7 4" xfId="820"/>
    <cellStyle name="20% - Accent4 2 7_15% shr of costs" xfId="4038"/>
    <cellStyle name="20% - Accent4 2 8" xfId="821"/>
    <cellStyle name="20% - Accent4 2 8 2" xfId="822"/>
    <cellStyle name="20% - Accent4 2 8 3" xfId="823"/>
    <cellStyle name="20% - Accent4 2 8 4" xfId="824"/>
    <cellStyle name="20% - Accent4 2 8_15% shr of costs" xfId="4039"/>
    <cellStyle name="20% - Accent4 2 9" xfId="825"/>
    <cellStyle name="20% - Accent4 2 9 2" xfId="826"/>
    <cellStyle name="20% - Accent4 2 9 3" xfId="827"/>
    <cellStyle name="20% - Accent4 2 9_15% shr of costs" xfId="4040"/>
    <cellStyle name="20% - Accent4 3" xfId="828"/>
    <cellStyle name="20% - Accent4 3 10" xfId="829"/>
    <cellStyle name="20% - Accent4 3 2" xfId="830"/>
    <cellStyle name="20% - Accent4 3 2 2" xfId="831"/>
    <cellStyle name="20% - Accent4 3 2 2 2" xfId="832"/>
    <cellStyle name="20% - Accent4 3 2 2 2 2" xfId="833"/>
    <cellStyle name="20% - Accent4 3 2 2 2 3" xfId="834"/>
    <cellStyle name="20% - Accent4 3 2 2 2 4" xfId="835"/>
    <cellStyle name="20% - Accent4 3 2 2 2 5" xfId="836"/>
    <cellStyle name="20% - Accent4 3 2 2 2_15% shr of costs" xfId="4044"/>
    <cellStyle name="20% - Accent4 3 2 2 3" xfId="837"/>
    <cellStyle name="20% - Accent4 3 2 2 4" xfId="838"/>
    <cellStyle name="20% - Accent4 3 2 2 5" xfId="839"/>
    <cellStyle name="20% - Accent4 3 2 2 6" xfId="840"/>
    <cellStyle name="20% - Accent4 3 2 2_15% shr of costs" xfId="4043"/>
    <cellStyle name="20% - Accent4 3 2 3" xfId="841"/>
    <cellStyle name="20% - Accent4 3 2 3 2" xfId="842"/>
    <cellStyle name="20% - Accent4 3 2 3 3" xfId="843"/>
    <cellStyle name="20% - Accent4 3 2 3 4" xfId="844"/>
    <cellStyle name="20% - Accent4 3 2 3 5" xfId="845"/>
    <cellStyle name="20% - Accent4 3 2 3_15% shr of costs" xfId="4045"/>
    <cellStyle name="20% - Accent4 3 2 4" xfId="846"/>
    <cellStyle name="20% - Accent4 3 2 4 2" xfId="847"/>
    <cellStyle name="20% - Accent4 3 2 4_15% shr of costs" xfId="4046"/>
    <cellStyle name="20% - Accent4 3 2 5" xfId="848"/>
    <cellStyle name="20% - Accent4 3 2 6" xfId="849"/>
    <cellStyle name="20% - Accent4 3 2 7" xfId="850"/>
    <cellStyle name="20% - Accent4 3 2_15% shr of costs" xfId="4042"/>
    <cellStyle name="20% - Accent4 3 3" xfId="851"/>
    <cellStyle name="20% - Accent4 3 3 2" xfId="852"/>
    <cellStyle name="20% - Accent4 3 3 2 2" xfId="853"/>
    <cellStyle name="20% - Accent4 3 3 2 2 2" xfId="854"/>
    <cellStyle name="20% - Accent4 3 3 2 2 3" xfId="855"/>
    <cellStyle name="20% - Accent4 3 3 2 2 4" xfId="856"/>
    <cellStyle name="20% - Accent4 3 3 2 2 5" xfId="857"/>
    <cellStyle name="20% - Accent4 3 3 2 2_15% shr of costs" xfId="4049"/>
    <cellStyle name="20% - Accent4 3 3 2 3" xfId="858"/>
    <cellStyle name="20% - Accent4 3 3 2 4" xfId="859"/>
    <cellStyle name="20% - Accent4 3 3 2 5" xfId="860"/>
    <cellStyle name="20% - Accent4 3 3 2 6" xfId="861"/>
    <cellStyle name="20% - Accent4 3 3 2_15% shr of costs" xfId="4048"/>
    <cellStyle name="20% - Accent4 3 3 3" xfId="862"/>
    <cellStyle name="20% - Accent4 3 3 3 2" xfId="863"/>
    <cellStyle name="20% - Accent4 3 3 3 3" xfId="864"/>
    <cellStyle name="20% - Accent4 3 3 3 4" xfId="865"/>
    <cellStyle name="20% - Accent4 3 3 3 5" xfId="866"/>
    <cellStyle name="20% - Accent4 3 3 3_15% shr of costs" xfId="4050"/>
    <cellStyle name="20% - Accent4 3 3 4" xfId="867"/>
    <cellStyle name="20% - Accent4 3 3 5" xfId="868"/>
    <cellStyle name="20% - Accent4 3 3 6" xfId="869"/>
    <cellStyle name="20% - Accent4 3 3 7" xfId="870"/>
    <cellStyle name="20% - Accent4 3 3_15% shr of costs" xfId="4047"/>
    <cellStyle name="20% - Accent4 3 4" xfId="871"/>
    <cellStyle name="20% - Accent4 3 4 2" xfId="872"/>
    <cellStyle name="20% - Accent4 3 4 2 2" xfId="873"/>
    <cellStyle name="20% - Accent4 3 4 2 2 2" xfId="874"/>
    <cellStyle name="20% - Accent4 3 4 2 2 3" xfId="875"/>
    <cellStyle name="20% - Accent4 3 4 2 2 4" xfId="876"/>
    <cellStyle name="20% - Accent4 3 4 2 2 5" xfId="877"/>
    <cellStyle name="20% - Accent4 3 4 2 2_15% shr of costs" xfId="4053"/>
    <cellStyle name="20% - Accent4 3 4 2 3" xfId="878"/>
    <cellStyle name="20% - Accent4 3 4 2 4" xfId="879"/>
    <cellStyle name="20% - Accent4 3 4 2 5" xfId="880"/>
    <cellStyle name="20% - Accent4 3 4 2 6" xfId="881"/>
    <cellStyle name="20% - Accent4 3 4 2_15% shr of costs" xfId="4052"/>
    <cellStyle name="20% - Accent4 3 4 3" xfId="882"/>
    <cellStyle name="20% - Accent4 3 4 3 2" xfId="883"/>
    <cellStyle name="20% - Accent4 3 4 3 3" xfId="884"/>
    <cellStyle name="20% - Accent4 3 4 3 4" xfId="885"/>
    <cellStyle name="20% - Accent4 3 4 3 5" xfId="886"/>
    <cellStyle name="20% - Accent4 3 4 3_15% shr of costs" xfId="4054"/>
    <cellStyle name="20% - Accent4 3 4 4" xfId="887"/>
    <cellStyle name="20% - Accent4 3 4 5" xfId="888"/>
    <cellStyle name="20% - Accent4 3 4 6" xfId="889"/>
    <cellStyle name="20% - Accent4 3 4 7" xfId="890"/>
    <cellStyle name="20% - Accent4 3 4_15% shr of costs" xfId="4051"/>
    <cellStyle name="20% - Accent4 3 5" xfId="891"/>
    <cellStyle name="20% - Accent4 3 5 2" xfId="892"/>
    <cellStyle name="20% - Accent4 3 5 2 2" xfId="893"/>
    <cellStyle name="20% - Accent4 3 5 2 3" xfId="894"/>
    <cellStyle name="20% - Accent4 3 5 2 4" xfId="895"/>
    <cellStyle name="20% - Accent4 3 5 2 5" xfId="896"/>
    <cellStyle name="20% - Accent4 3 5 2_15% shr of costs" xfId="4056"/>
    <cellStyle name="20% - Accent4 3 5 3" xfId="897"/>
    <cellStyle name="20% - Accent4 3 5 4" xfId="898"/>
    <cellStyle name="20% - Accent4 3 5 5" xfId="899"/>
    <cellStyle name="20% - Accent4 3 5 6" xfId="900"/>
    <cellStyle name="20% - Accent4 3 5_15% shr of costs" xfId="4055"/>
    <cellStyle name="20% - Accent4 3 6" xfId="901"/>
    <cellStyle name="20% - Accent4 3 6 2" xfId="902"/>
    <cellStyle name="20% - Accent4 3 6 3" xfId="903"/>
    <cellStyle name="20% - Accent4 3 6 4" xfId="904"/>
    <cellStyle name="20% - Accent4 3 6 5" xfId="905"/>
    <cellStyle name="20% - Accent4 3 6_15% shr of costs" xfId="4057"/>
    <cellStyle name="20% - Accent4 3 7" xfId="906"/>
    <cellStyle name="20% - Accent4 3 8" xfId="907"/>
    <cellStyle name="20% - Accent4 3 9" xfId="908"/>
    <cellStyle name="20% - Accent4 3_15% shr of costs" xfId="4041"/>
    <cellStyle name="20% - Accent4 4" xfId="909"/>
    <cellStyle name="20% - Accent4 4 2" xfId="910"/>
    <cellStyle name="20% - Accent4 4 2 2" xfId="911"/>
    <cellStyle name="20% - Accent4 4 2 2 2" xfId="912"/>
    <cellStyle name="20% - Accent4 4 2 2 3" xfId="913"/>
    <cellStyle name="20% - Accent4 4 2 2 4" xfId="914"/>
    <cellStyle name="20% - Accent4 4 2 2 5" xfId="915"/>
    <cellStyle name="20% - Accent4 4 2 2_15% shr of costs" xfId="4060"/>
    <cellStyle name="20% - Accent4 4 2 3" xfId="916"/>
    <cellStyle name="20% - Accent4 4 2 4" xfId="917"/>
    <cellStyle name="20% - Accent4 4 2 5" xfId="918"/>
    <cellStyle name="20% - Accent4 4 2 6" xfId="919"/>
    <cellStyle name="20% - Accent4 4 2_15% shr of costs" xfId="4059"/>
    <cellStyle name="20% - Accent4 4 3" xfId="920"/>
    <cellStyle name="20% - Accent4 4 3 2" xfId="921"/>
    <cellStyle name="20% - Accent4 4 3 3" xfId="922"/>
    <cellStyle name="20% - Accent4 4 3 4" xfId="923"/>
    <cellStyle name="20% - Accent4 4 3 5" xfId="924"/>
    <cellStyle name="20% - Accent4 4 3_15% shr of costs" xfId="4061"/>
    <cellStyle name="20% - Accent4 4 4" xfId="925"/>
    <cellStyle name="20% - Accent4 4 4 2" xfId="926"/>
    <cellStyle name="20% - Accent4 4 4_15% shr of costs" xfId="4062"/>
    <cellStyle name="20% - Accent4 4 5" xfId="927"/>
    <cellStyle name="20% - Accent4 4 6" xfId="928"/>
    <cellStyle name="20% - Accent4 4 7" xfId="929"/>
    <cellStyle name="20% - Accent4 4_15% shr of costs" xfId="4058"/>
    <cellStyle name="20% - Accent4 5" xfId="930"/>
    <cellStyle name="20% - Accent4 5 2" xfId="931"/>
    <cellStyle name="20% - Accent4 5 2 2" xfId="932"/>
    <cellStyle name="20% - Accent4 5 2 2 2" xfId="933"/>
    <cellStyle name="20% - Accent4 5 2 2 3" xfId="934"/>
    <cellStyle name="20% - Accent4 5 2 2 4" xfId="935"/>
    <cellStyle name="20% - Accent4 5 2 2 5" xfId="936"/>
    <cellStyle name="20% - Accent4 5 2 2_15% shr of costs" xfId="4065"/>
    <cellStyle name="20% - Accent4 5 2 3" xfId="937"/>
    <cellStyle name="20% - Accent4 5 2 4" xfId="938"/>
    <cellStyle name="20% - Accent4 5 2 5" xfId="939"/>
    <cellStyle name="20% - Accent4 5 2 6" xfId="940"/>
    <cellStyle name="20% - Accent4 5 2_15% shr of costs" xfId="4064"/>
    <cellStyle name="20% - Accent4 5 3" xfId="941"/>
    <cellStyle name="20% - Accent4 5 3 2" xfId="942"/>
    <cellStyle name="20% - Accent4 5 3 3" xfId="943"/>
    <cellStyle name="20% - Accent4 5 3 4" xfId="944"/>
    <cellStyle name="20% - Accent4 5 3 5" xfId="945"/>
    <cellStyle name="20% - Accent4 5 3_15% shr of costs" xfId="4066"/>
    <cellStyle name="20% - Accent4 5 4" xfId="946"/>
    <cellStyle name="20% - Accent4 5 5" xfId="947"/>
    <cellStyle name="20% - Accent4 5 6" xfId="948"/>
    <cellStyle name="20% - Accent4 5 7" xfId="949"/>
    <cellStyle name="20% - Accent4 5_15% shr of costs" xfId="4063"/>
    <cellStyle name="20% - Accent4 6" xfId="950"/>
    <cellStyle name="20% - Accent4 6 2" xfId="951"/>
    <cellStyle name="20% - Accent4 6 2 2" xfId="952"/>
    <cellStyle name="20% - Accent4 6 2 2 2" xfId="953"/>
    <cellStyle name="20% - Accent4 6 2 2 3" xfId="954"/>
    <cellStyle name="20% - Accent4 6 2 2 4" xfId="955"/>
    <cellStyle name="20% - Accent4 6 2 2 5" xfId="956"/>
    <cellStyle name="20% - Accent4 6 2 2_15% shr of costs" xfId="4069"/>
    <cellStyle name="20% - Accent4 6 2 3" xfId="957"/>
    <cellStyle name="20% - Accent4 6 2 4" xfId="958"/>
    <cellStyle name="20% - Accent4 6 2 5" xfId="959"/>
    <cellStyle name="20% - Accent4 6 2 6" xfId="960"/>
    <cellStyle name="20% - Accent4 6 2_15% shr of costs" xfId="4068"/>
    <cellStyle name="20% - Accent4 6 3" xfId="961"/>
    <cellStyle name="20% - Accent4 6 3 2" xfId="962"/>
    <cellStyle name="20% - Accent4 6 3 3" xfId="963"/>
    <cellStyle name="20% - Accent4 6 3 4" xfId="964"/>
    <cellStyle name="20% - Accent4 6 3 5" xfId="965"/>
    <cellStyle name="20% - Accent4 6 3_15% shr of costs" xfId="4070"/>
    <cellStyle name="20% - Accent4 6 4" xfId="966"/>
    <cellStyle name="20% - Accent4 6 5" xfId="967"/>
    <cellStyle name="20% - Accent4 6 6" xfId="968"/>
    <cellStyle name="20% - Accent4 6 7" xfId="969"/>
    <cellStyle name="20% - Accent4 6_15% shr of costs" xfId="4067"/>
    <cellStyle name="20% - Accent4 7" xfId="970"/>
    <cellStyle name="20% - Accent4 7 2" xfId="971"/>
    <cellStyle name="20% - Accent4 7 2 2" xfId="972"/>
    <cellStyle name="20% - Accent4 7 2 2 2" xfId="973"/>
    <cellStyle name="20% - Accent4 7 2 2 3" xfId="974"/>
    <cellStyle name="20% - Accent4 7 2 2 4" xfId="975"/>
    <cellStyle name="20% - Accent4 7 2 2 5" xfId="976"/>
    <cellStyle name="20% - Accent4 7 2 2_15% shr of costs" xfId="4073"/>
    <cellStyle name="20% - Accent4 7 2 3" xfId="977"/>
    <cellStyle name="20% - Accent4 7 2 4" xfId="978"/>
    <cellStyle name="20% - Accent4 7 2 5" xfId="979"/>
    <cellStyle name="20% - Accent4 7 2 6" xfId="980"/>
    <cellStyle name="20% - Accent4 7 2_15% shr of costs" xfId="4072"/>
    <cellStyle name="20% - Accent4 7 3" xfId="981"/>
    <cellStyle name="20% - Accent4 7 3 2" xfId="982"/>
    <cellStyle name="20% - Accent4 7 3 3" xfId="983"/>
    <cellStyle name="20% - Accent4 7 3 4" xfId="984"/>
    <cellStyle name="20% - Accent4 7 3 5" xfId="985"/>
    <cellStyle name="20% - Accent4 7 3_15% shr of costs" xfId="4074"/>
    <cellStyle name="20% - Accent4 7 4" xfId="986"/>
    <cellStyle name="20% - Accent4 7 5" xfId="987"/>
    <cellStyle name="20% - Accent4 7 6" xfId="988"/>
    <cellStyle name="20% - Accent4 7 7" xfId="989"/>
    <cellStyle name="20% - Accent4 7_15% shr of costs" xfId="4071"/>
    <cellStyle name="20% - Accent4 8" xfId="990"/>
    <cellStyle name="20% - Accent4 8 2" xfId="991"/>
    <cellStyle name="20% - Accent4 8 2 2" xfId="992"/>
    <cellStyle name="20% - Accent4 8 2 2 2" xfId="993"/>
    <cellStyle name="20% - Accent4 8 2 2 3" xfId="994"/>
    <cellStyle name="20% - Accent4 8 2 2 4" xfId="995"/>
    <cellStyle name="20% - Accent4 8 2 2 5" xfId="996"/>
    <cellStyle name="20% - Accent4 8 2 2_15% shr of costs" xfId="4077"/>
    <cellStyle name="20% - Accent4 8 2 3" xfId="997"/>
    <cellStyle name="20% - Accent4 8 2 4" xfId="998"/>
    <cellStyle name="20% - Accent4 8 2 5" xfId="999"/>
    <cellStyle name="20% - Accent4 8 2 6" xfId="1000"/>
    <cellStyle name="20% - Accent4 8 2_15% shr of costs" xfId="4076"/>
    <cellStyle name="20% - Accent4 8 3" xfId="1001"/>
    <cellStyle name="20% - Accent4 8 3 2" xfId="1002"/>
    <cellStyle name="20% - Accent4 8 3 3" xfId="1003"/>
    <cellStyle name="20% - Accent4 8 3 4" xfId="1004"/>
    <cellStyle name="20% - Accent4 8 3 5" xfId="1005"/>
    <cellStyle name="20% - Accent4 8 3_15% shr of costs" xfId="4078"/>
    <cellStyle name="20% - Accent4 8 4" xfId="1006"/>
    <cellStyle name="20% - Accent4 8 5" xfId="1007"/>
    <cellStyle name="20% - Accent4 8 6" xfId="1008"/>
    <cellStyle name="20% - Accent4 8 7" xfId="1009"/>
    <cellStyle name="20% - Accent4 8_15% shr of costs" xfId="4075"/>
    <cellStyle name="20% - Accent4 9" xfId="1010"/>
    <cellStyle name="20% - Accent4 9 2" xfId="1011"/>
    <cellStyle name="20% - Accent4 9 2 2" xfId="1012"/>
    <cellStyle name="20% - Accent4 9 2 2 2" xfId="1013"/>
    <cellStyle name="20% - Accent4 9 2 2 3" xfId="1014"/>
    <cellStyle name="20% - Accent4 9 2 2 4" xfId="1015"/>
    <cellStyle name="20% - Accent4 9 2 2 5" xfId="1016"/>
    <cellStyle name="20% - Accent4 9 2 2_15% shr of costs" xfId="4081"/>
    <cellStyle name="20% - Accent4 9 2 3" xfId="1017"/>
    <cellStyle name="20% - Accent4 9 2 4" xfId="1018"/>
    <cellStyle name="20% - Accent4 9 2 5" xfId="1019"/>
    <cellStyle name="20% - Accent4 9 2 6" xfId="1020"/>
    <cellStyle name="20% - Accent4 9 2_15% shr of costs" xfId="4080"/>
    <cellStyle name="20% - Accent4 9 3" xfId="1021"/>
    <cellStyle name="20% - Accent4 9 3 2" xfId="1022"/>
    <cellStyle name="20% - Accent4 9 3 3" xfId="1023"/>
    <cellStyle name="20% - Accent4 9 3 4" xfId="1024"/>
    <cellStyle name="20% - Accent4 9 3 5" xfId="1025"/>
    <cellStyle name="20% - Accent4 9 3_15% shr of costs" xfId="4082"/>
    <cellStyle name="20% - Accent4 9 4" xfId="1026"/>
    <cellStyle name="20% - Accent4 9 5" xfId="1027"/>
    <cellStyle name="20% - Accent4 9 6" xfId="1028"/>
    <cellStyle name="20% - Accent4 9 7" xfId="1029"/>
    <cellStyle name="20% - Accent4 9_15% shr of costs" xfId="4079"/>
    <cellStyle name="20% - Accent5 10" xfId="1030"/>
    <cellStyle name="20% - Accent5 10 2" xfId="1031"/>
    <cellStyle name="20% - Accent5 10 3" xfId="1032"/>
    <cellStyle name="20% - Accent5 10 4" xfId="1033"/>
    <cellStyle name="20% - Accent5 10 5" xfId="1034"/>
    <cellStyle name="20% - Accent5 10_15% shr of costs" xfId="4083"/>
    <cellStyle name="20% - Accent5 11" xfId="1035"/>
    <cellStyle name="20% - Accent5 11 2" xfId="1036"/>
    <cellStyle name="20% - Accent5 11 3" xfId="1037"/>
    <cellStyle name="20% - Accent5 11 4" xfId="1038"/>
    <cellStyle name="20% - Accent5 11 5" xfId="1039"/>
    <cellStyle name="20% - Accent5 11_15% shr of costs" xfId="4084"/>
    <cellStyle name="20% - Accent5 12" xfId="1040"/>
    <cellStyle name="20% - Accent5 12 2" xfId="1041"/>
    <cellStyle name="20% - Accent5 12 3" xfId="1042"/>
    <cellStyle name="20% - Accent5 12 4" xfId="1043"/>
    <cellStyle name="20% - Accent5 12_15% shr of costs" xfId="4085"/>
    <cellStyle name="20% - Accent5 13" xfId="1044"/>
    <cellStyle name="20% - Accent5 13 2" xfId="1045"/>
    <cellStyle name="20% - Accent5 13 3" xfId="1046"/>
    <cellStyle name="20% - Accent5 13 4" xfId="1047"/>
    <cellStyle name="20% - Accent5 13_15% shr of costs" xfId="4086"/>
    <cellStyle name="20% - Accent5 14" xfId="1048"/>
    <cellStyle name="20% - Accent5 14 2" xfId="1049"/>
    <cellStyle name="20% - Accent5 14 3" xfId="1050"/>
    <cellStyle name="20% - Accent5 14 4" xfId="1051"/>
    <cellStyle name="20% - Accent5 14_15% shr of costs" xfId="4087"/>
    <cellStyle name="20% - Accent5 15" xfId="1052"/>
    <cellStyle name="20% - Accent5 15 2" xfId="1053"/>
    <cellStyle name="20% - Accent5 15 3" xfId="1054"/>
    <cellStyle name="20% - Accent5 15_15% shr of costs" xfId="4088"/>
    <cellStyle name="20% - Accent5 16" xfId="1055"/>
    <cellStyle name="20% - Accent5 17" xfId="1056"/>
    <cellStyle name="20% - Accent5 2" xfId="1057"/>
    <cellStyle name="20% - Accent5 2 2" xfId="1058"/>
    <cellStyle name="20% - Accent5 2 2 2" xfId="1059"/>
    <cellStyle name="20% - Accent5 2 2 2 2" xfId="1060"/>
    <cellStyle name="20% - Accent5 2 2 2 2 2" xfId="1061"/>
    <cellStyle name="20% - Accent5 2 2 2 2 3" xfId="1062"/>
    <cellStyle name="20% - Accent5 2 2 2 2 4" xfId="1063"/>
    <cellStyle name="20% - Accent5 2 2 2 2_15% shr of costs" xfId="4091"/>
    <cellStyle name="20% - Accent5 2 2 2 3" xfId="1064"/>
    <cellStyle name="20% - Accent5 2 2 2 3 2" xfId="1065"/>
    <cellStyle name="20% - Accent5 2 2 2 3_15% shr of costs" xfId="4092"/>
    <cellStyle name="20% - Accent5 2 2 2 4" xfId="1066"/>
    <cellStyle name="20% - Accent5 2 2 2 4 2" xfId="1067"/>
    <cellStyle name="20% - Accent5 2 2 2 4_15% shr of costs" xfId="4093"/>
    <cellStyle name="20% - Accent5 2 2 2 5" xfId="1068"/>
    <cellStyle name="20% - Accent5 2 2 2 6" xfId="1069"/>
    <cellStyle name="20% - Accent5 2 2 2 7" xfId="1070"/>
    <cellStyle name="20% - Accent5 2 2 2_15% shr of costs" xfId="4090"/>
    <cellStyle name="20% - Accent5 2 2 3" xfId="1071"/>
    <cellStyle name="20% - Accent5 2 2 3 2" xfId="1072"/>
    <cellStyle name="20% - Accent5 2 2 3 3" xfId="1073"/>
    <cellStyle name="20% - Accent5 2 2 3 4" xfId="1074"/>
    <cellStyle name="20% - Accent5 2 2 3_15% shr of costs" xfId="4094"/>
    <cellStyle name="20% - Accent5 2 2 4" xfId="1075"/>
    <cellStyle name="20% - Accent5 2 2 4 2" xfId="1076"/>
    <cellStyle name="20% - Accent5 2 2 4_15% shr of costs" xfId="4095"/>
    <cellStyle name="20% - Accent5 2 2 5" xfId="1077"/>
    <cellStyle name="20% - Accent5 2 2 5 2" xfId="1078"/>
    <cellStyle name="20% - Accent5 2 2 5_15% shr of costs" xfId="4096"/>
    <cellStyle name="20% - Accent5 2 2 6" xfId="1079"/>
    <cellStyle name="20% - Accent5 2 2 7" xfId="1080"/>
    <cellStyle name="20% - Accent5 2 2 8" xfId="1081"/>
    <cellStyle name="20% - Accent5 2 2_15% shr of costs" xfId="4089"/>
    <cellStyle name="20% - Accent5 2 3" xfId="1082"/>
    <cellStyle name="20% - Accent5 2 3 2" xfId="1083"/>
    <cellStyle name="20% - Accent5 2 3 2 2" xfId="1084"/>
    <cellStyle name="20% - Accent5 2 3 2 3" xfId="1085"/>
    <cellStyle name="20% - Accent5 2 3 2 4" xfId="1086"/>
    <cellStyle name="20% - Accent5 2 3 2_15% shr of costs" xfId="4098"/>
    <cellStyle name="20% - Accent5 2 3 3" xfId="1087"/>
    <cellStyle name="20% - Accent5 2 3 3 2" xfId="1088"/>
    <cellStyle name="20% - Accent5 2 3 3_15% shr of costs" xfId="4099"/>
    <cellStyle name="20% - Accent5 2 3 4" xfId="1089"/>
    <cellStyle name="20% - Accent5 2 3 4 2" xfId="1090"/>
    <cellStyle name="20% - Accent5 2 3 4_15% shr of costs" xfId="4100"/>
    <cellStyle name="20% - Accent5 2 3 5" xfId="1091"/>
    <cellStyle name="20% - Accent5 2 3 6" xfId="1092"/>
    <cellStyle name="20% - Accent5 2 3 7" xfId="1093"/>
    <cellStyle name="20% - Accent5 2 3_15% shr of costs" xfId="4097"/>
    <cellStyle name="20% - Accent5 2 4" xfId="1094"/>
    <cellStyle name="20% - Accent5 2 4 2" xfId="1095"/>
    <cellStyle name="20% - Accent5 2 4 3" xfId="1096"/>
    <cellStyle name="20% - Accent5 2 4 4" xfId="1097"/>
    <cellStyle name="20% - Accent5 2 4_15% shr of costs" xfId="4101"/>
    <cellStyle name="20% - Accent5 2 5" xfId="1098"/>
    <cellStyle name="20% - Accent5 2 5 2" xfId="1099"/>
    <cellStyle name="20% - Accent5 2 5_15% shr of costs" xfId="4102"/>
    <cellStyle name="20% - Accent5 2 6" xfId="1100"/>
    <cellStyle name="20% - Accent5 2 6 2" xfId="1101"/>
    <cellStyle name="20% - Accent5 2 6_15% shr of costs" xfId="4103"/>
    <cellStyle name="20% - Accent5 2 7" xfId="1102"/>
    <cellStyle name="20% - Accent5 2 8" xfId="1103"/>
    <cellStyle name="20% - Accent5 2 9" xfId="1104"/>
    <cellStyle name="20% - Accent5 3" xfId="1105"/>
    <cellStyle name="20% - Accent5 3 2" xfId="1106"/>
    <cellStyle name="20% - Accent5 3 2 2" xfId="1107"/>
    <cellStyle name="20% - Accent5 3 2 2 2" xfId="1108"/>
    <cellStyle name="20% - Accent5 3 2 2 3" xfId="1109"/>
    <cellStyle name="20% - Accent5 3 2 2 4" xfId="1110"/>
    <cellStyle name="20% - Accent5 3 2 2 5" xfId="1111"/>
    <cellStyle name="20% - Accent5 3 2 2_15% shr of costs" xfId="4106"/>
    <cellStyle name="20% - Accent5 3 2 3" xfId="1112"/>
    <cellStyle name="20% - Accent5 3 2 3 2" xfId="1113"/>
    <cellStyle name="20% - Accent5 3 2 3_15% shr of costs" xfId="4107"/>
    <cellStyle name="20% - Accent5 3 2 4" xfId="1114"/>
    <cellStyle name="20% - Accent5 3 2 4 2" xfId="1115"/>
    <cellStyle name="20% - Accent5 3 2 4_15% shr of costs" xfId="4108"/>
    <cellStyle name="20% - Accent5 3 2 5" xfId="1116"/>
    <cellStyle name="20% - Accent5 3 2 6" xfId="1117"/>
    <cellStyle name="20% - Accent5 3 2 7" xfId="1118"/>
    <cellStyle name="20% - Accent5 3 2_15% shr of costs" xfId="4105"/>
    <cellStyle name="20% - Accent5 3 3" xfId="1119"/>
    <cellStyle name="20% - Accent5 3 3 2" xfId="1120"/>
    <cellStyle name="20% - Accent5 3 3 3" xfId="1121"/>
    <cellStyle name="20% - Accent5 3 3 4" xfId="1122"/>
    <cellStyle name="20% - Accent5 3 3 5" xfId="1123"/>
    <cellStyle name="20% - Accent5 3 3_15% shr of costs" xfId="4109"/>
    <cellStyle name="20% - Accent5 3 4" xfId="1124"/>
    <cellStyle name="20% - Accent5 3 4 2" xfId="1125"/>
    <cellStyle name="20% - Accent5 3 4_15% shr of costs" xfId="4110"/>
    <cellStyle name="20% - Accent5 3 5" xfId="1126"/>
    <cellStyle name="20% - Accent5 3 5 2" xfId="1127"/>
    <cellStyle name="20% - Accent5 3 5_15% shr of costs" xfId="4111"/>
    <cellStyle name="20% - Accent5 3 6" xfId="1128"/>
    <cellStyle name="20% - Accent5 3 7" xfId="1129"/>
    <cellStyle name="20% - Accent5 3 8" xfId="1130"/>
    <cellStyle name="20% - Accent5 3_15% shr of costs" xfId="4104"/>
    <cellStyle name="20% - Accent5 4" xfId="1131"/>
    <cellStyle name="20% - Accent5 4 2" xfId="1132"/>
    <cellStyle name="20% - Accent5 4 2 2" xfId="1133"/>
    <cellStyle name="20% - Accent5 4 2 2 2" xfId="1134"/>
    <cellStyle name="20% - Accent5 4 2 2 3" xfId="1135"/>
    <cellStyle name="20% - Accent5 4 2 2 4" xfId="1136"/>
    <cellStyle name="20% - Accent5 4 2 2 5" xfId="1137"/>
    <cellStyle name="20% - Accent5 4 2 2_15% shr of costs" xfId="4114"/>
    <cellStyle name="20% - Accent5 4 2 3" xfId="1138"/>
    <cellStyle name="20% - Accent5 4 2 4" xfId="1139"/>
    <cellStyle name="20% - Accent5 4 2 5" xfId="1140"/>
    <cellStyle name="20% - Accent5 4 2 6" xfId="1141"/>
    <cellStyle name="20% - Accent5 4 2_15% shr of costs" xfId="4113"/>
    <cellStyle name="20% - Accent5 4 3" xfId="1142"/>
    <cellStyle name="20% - Accent5 4 3 2" xfId="1143"/>
    <cellStyle name="20% - Accent5 4 3 3" xfId="1144"/>
    <cellStyle name="20% - Accent5 4 3 4" xfId="1145"/>
    <cellStyle name="20% - Accent5 4 3 5" xfId="1146"/>
    <cellStyle name="20% - Accent5 4 3_15% shr of costs" xfId="4115"/>
    <cellStyle name="20% - Accent5 4 4" xfId="1147"/>
    <cellStyle name="20% - Accent5 4 4 2" xfId="1148"/>
    <cellStyle name="20% - Accent5 4 4_15% shr of costs" xfId="4116"/>
    <cellStyle name="20% - Accent5 4 5" xfId="1149"/>
    <cellStyle name="20% - Accent5 4 6" xfId="1150"/>
    <cellStyle name="20% - Accent5 4 7" xfId="1151"/>
    <cellStyle name="20% - Accent5 4_15% shr of costs" xfId="4112"/>
    <cellStyle name="20% - Accent5 5" xfId="1152"/>
    <cellStyle name="20% - Accent5 5 2" xfId="1153"/>
    <cellStyle name="20% - Accent5 5 2 2" xfId="1154"/>
    <cellStyle name="20% - Accent5 5 2 2 2" xfId="1155"/>
    <cellStyle name="20% - Accent5 5 2 2 3" xfId="1156"/>
    <cellStyle name="20% - Accent5 5 2 2 4" xfId="1157"/>
    <cellStyle name="20% - Accent5 5 2 2 5" xfId="1158"/>
    <cellStyle name="20% - Accent5 5 2 2_15% shr of costs" xfId="4119"/>
    <cellStyle name="20% - Accent5 5 2 3" xfId="1159"/>
    <cellStyle name="20% - Accent5 5 2 4" xfId="1160"/>
    <cellStyle name="20% - Accent5 5 2 5" xfId="1161"/>
    <cellStyle name="20% - Accent5 5 2 6" xfId="1162"/>
    <cellStyle name="20% - Accent5 5 2_15% shr of costs" xfId="4118"/>
    <cellStyle name="20% - Accent5 5 3" xfId="1163"/>
    <cellStyle name="20% - Accent5 5 3 2" xfId="1164"/>
    <cellStyle name="20% - Accent5 5 3 3" xfId="1165"/>
    <cellStyle name="20% - Accent5 5 3 4" xfId="1166"/>
    <cellStyle name="20% - Accent5 5 3 5" xfId="1167"/>
    <cellStyle name="20% - Accent5 5 3_15% shr of costs" xfId="4120"/>
    <cellStyle name="20% - Accent5 5 4" xfId="1168"/>
    <cellStyle name="20% - Accent5 5 5" xfId="1169"/>
    <cellStyle name="20% - Accent5 5 6" xfId="1170"/>
    <cellStyle name="20% - Accent5 5 7" xfId="1171"/>
    <cellStyle name="20% - Accent5 5_15% shr of costs" xfId="4117"/>
    <cellStyle name="20% - Accent5 6" xfId="1172"/>
    <cellStyle name="20% - Accent5 6 2" xfId="1173"/>
    <cellStyle name="20% - Accent5 6 2 2" xfId="1174"/>
    <cellStyle name="20% - Accent5 6 2 2 2" xfId="1175"/>
    <cellStyle name="20% - Accent5 6 2 2 3" xfId="1176"/>
    <cellStyle name="20% - Accent5 6 2 2 4" xfId="1177"/>
    <cellStyle name="20% - Accent5 6 2 2 5" xfId="1178"/>
    <cellStyle name="20% - Accent5 6 2 2_15% shr of costs" xfId="4123"/>
    <cellStyle name="20% - Accent5 6 2 3" xfId="1179"/>
    <cellStyle name="20% - Accent5 6 2 4" xfId="1180"/>
    <cellStyle name="20% - Accent5 6 2 5" xfId="1181"/>
    <cellStyle name="20% - Accent5 6 2 6" xfId="1182"/>
    <cellStyle name="20% - Accent5 6 2_15% shr of costs" xfId="4122"/>
    <cellStyle name="20% - Accent5 6 3" xfId="1183"/>
    <cellStyle name="20% - Accent5 6 3 2" xfId="1184"/>
    <cellStyle name="20% - Accent5 6 3 3" xfId="1185"/>
    <cellStyle name="20% - Accent5 6 3 4" xfId="1186"/>
    <cellStyle name="20% - Accent5 6 3 5" xfId="1187"/>
    <cellStyle name="20% - Accent5 6 3_15% shr of costs" xfId="4124"/>
    <cellStyle name="20% - Accent5 6 4" xfId="1188"/>
    <cellStyle name="20% - Accent5 6 5" xfId="1189"/>
    <cellStyle name="20% - Accent5 6 6" xfId="1190"/>
    <cellStyle name="20% - Accent5 6 7" xfId="1191"/>
    <cellStyle name="20% - Accent5 6_15% shr of costs" xfId="4121"/>
    <cellStyle name="20% - Accent5 7" xfId="1192"/>
    <cellStyle name="20% - Accent5 7 2" xfId="1193"/>
    <cellStyle name="20% - Accent5 7 2 2" xfId="1194"/>
    <cellStyle name="20% - Accent5 7 2 2 2" xfId="1195"/>
    <cellStyle name="20% - Accent5 7 2 2 3" xfId="1196"/>
    <cellStyle name="20% - Accent5 7 2 2 4" xfId="1197"/>
    <cellStyle name="20% - Accent5 7 2 2 5" xfId="1198"/>
    <cellStyle name="20% - Accent5 7 2 2_15% shr of costs" xfId="4127"/>
    <cellStyle name="20% - Accent5 7 2 3" xfId="1199"/>
    <cellStyle name="20% - Accent5 7 2 4" xfId="1200"/>
    <cellStyle name="20% - Accent5 7 2 5" xfId="1201"/>
    <cellStyle name="20% - Accent5 7 2 6" xfId="1202"/>
    <cellStyle name="20% - Accent5 7 2_15% shr of costs" xfId="4126"/>
    <cellStyle name="20% - Accent5 7 3" xfId="1203"/>
    <cellStyle name="20% - Accent5 7 3 2" xfId="1204"/>
    <cellStyle name="20% - Accent5 7 3 3" xfId="1205"/>
    <cellStyle name="20% - Accent5 7 3 4" xfId="1206"/>
    <cellStyle name="20% - Accent5 7 3 5" xfId="1207"/>
    <cellStyle name="20% - Accent5 7 3_15% shr of costs" xfId="4128"/>
    <cellStyle name="20% - Accent5 7 4" xfId="1208"/>
    <cellStyle name="20% - Accent5 7 5" xfId="1209"/>
    <cellStyle name="20% - Accent5 7 6" xfId="1210"/>
    <cellStyle name="20% - Accent5 7 7" xfId="1211"/>
    <cellStyle name="20% - Accent5 7_15% shr of costs" xfId="4125"/>
    <cellStyle name="20% - Accent5 8" xfId="1212"/>
    <cellStyle name="20% - Accent5 8 2" xfId="1213"/>
    <cellStyle name="20% - Accent5 8 2 2" xfId="1214"/>
    <cellStyle name="20% - Accent5 8 2 2 2" xfId="1215"/>
    <cellStyle name="20% - Accent5 8 2 2 3" xfId="1216"/>
    <cellStyle name="20% - Accent5 8 2 2 4" xfId="1217"/>
    <cellStyle name="20% - Accent5 8 2 2 5" xfId="1218"/>
    <cellStyle name="20% - Accent5 8 2 2_15% shr of costs" xfId="4131"/>
    <cellStyle name="20% - Accent5 8 2 3" xfId="1219"/>
    <cellStyle name="20% - Accent5 8 2 4" xfId="1220"/>
    <cellStyle name="20% - Accent5 8 2 5" xfId="1221"/>
    <cellStyle name="20% - Accent5 8 2 6" xfId="1222"/>
    <cellStyle name="20% - Accent5 8 2_15% shr of costs" xfId="4130"/>
    <cellStyle name="20% - Accent5 8 3" xfId="1223"/>
    <cellStyle name="20% - Accent5 8 3 2" xfId="1224"/>
    <cellStyle name="20% - Accent5 8 3 3" xfId="1225"/>
    <cellStyle name="20% - Accent5 8 3 4" xfId="1226"/>
    <cellStyle name="20% - Accent5 8 3 5" xfId="1227"/>
    <cellStyle name="20% - Accent5 8 3_15% shr of costs" xfId="4132"/>
    <cellStyle name="20% - Accent5 8 4" xfId="1228"/>
    <cellStyle name="20% - Accent5 8 5" xfId="1229"/>
    <cellStyle name="20% - Accent5 8 6" xfId="1230"/>
    <cellStyle name="20% - Accent5 8 7" xfId="1231"/>
    <cellStyle name="20% - Accent5 8_15% shr of costs" xfId="4129"/>
    <cellStyle name="20% - Accent5 9" xfId="1232"/>
    <cellStyle name="20% - Accent5 9 2" xfId="1233"/>
    <cellStyle name="20% - Accent5 9 2 2" xfId="1234"/>
    <cellStyle name="20% - Accent5 9 2 3" xfId="1235"/>
    <cellStyle name="20% - Accent5 9 2 4" xfId="1236"/>
    <cellStyle name="20% - Accent5 9 2 5" xfId="1237"/>
    <cellStyle name="20% - Accent5 9 2_15% shr of costs" xfId="4134"/>
    <cellStyle name="20% - Accent5 9 3" xfId="1238"/>
    <cellStyle name="20% - Accent5 9 4" xfId="1239"/>
    <cellStyle name="20% - Accent5 9 5" xfId="1240"/>
    <cellStyle name="20% - Accent5 9 6" xfId="1241"/>
    <cellStyle name="20% - Accent5 9_15% shr of costs" xfId="4133"/>
    <cellStyle name="20% - Accent6 10" xfId="1242"/>
    <cellStyle name="20% - Accent6 10 2" xfId="1243"/>
    <cellStyle name="20% - Accent6 10 3" xfId="1244"/>
    <cellStyle name="20% - Accent6 10 4" xfId="1245"/>
    <cellStyle name="20% - Accent6 10 5" xfId="1246"/>
    <cellStyle name="20% - Accent6 10_15% shr of costs" xfId="4135"/>
    <cellStyle name="20% - Accent6 11" xfId="1247"/>
    <cellStyle name="20% - Accent6 11 2" xfId="1248"/>
    <cellStyle name="20% - Accent6 11 3" xfId="1249"/>
    <cellStyle name="20% - Accent6 11 4" xfId="1250"/>
    <cellStyle name="20% - Accent6 11 5" xfId="1251"/>
    <cellStyle name="20% - Accent6 11_15% shr of costs" xfId="4136"/>
    <cellStyle name="20% - Accent6 12" xfId="1252"/>
    <cellStyle name="20% - Accent6 12 2" xfId="1253"/>
    <cellStyle name="20% - Accent6 12 3" xfId="1254"/>
    <cellStyle name="20% - Accent6 12 4" xfId="1255"/>
    <cellStyle name="20% - Accent6 12_15% shr of costs" xfId="4137"/>
    <cellStyle name="20% - Accent6 13" xfId="1256"/>
    <cellStyle name="20% - Accent6 13 2" xfId="1257"/>
    <cellStyle name="20% - Accent6 13 3" xfId="1258"/>
    <cellStyle name="20% - Accent6 13 4" xfId="1259"/>
    <cellStyle name="20% - Accent6 13_15% shr of costs" xfId="4138"/>
    <cellStyle name="20% - Accent6 14" xfId="1260"/>
    <cellStyle name="20% - Accent6 14 2" xfId="1261"/>
    <cellStyle name="20% - Accent6 14 3" xfId="1262"/>
    <cellStyle name="20% - Accent6 14 4" xfId="1263"/>
    <cellStyle name="20% - Accent6 14_15% shr of costs" xfId="4139"/>
    <cellStyle name="20% - Accent6 15" xfId="1264"/>
    <cellStyle name="20% - Accent6 15 2" xfId="1265"/>
    <cellStyle name="20% - Accent6 15 3" xfId="1266"/>
    <cellStyle name="20% - Accent6 15_15% shr of costs" xfId="4140"/>
    <cellStyle name="20% - Accent6 16" xfId="1267"/>
    <cellStyle name="20% - Accent6 17" xfId="1268"/>
    <cellStyle name="20% - Accent6 2" xfId="1269"/>
    <cellStyle name="20% - Accent6 2 2" xfId="1270"/>
    <cellStyle name="20% - Accent6 2 2 2" xfId="1271"/>
    <cellStyle name="20% - Accent6 2 2 2 2" xfId="1272"/>
    <cellStyle name="20% - Accent6 2 2 2 2 2" xfId="1273"/>
    <cellStyle name="20% - Accent6 2 2 2 2 3" xfId="1274"/>
    <cellStyle name="20% - Accent6 2 2 2 2 4" xfId="1275"/>
    <cellStyle name="20% - Accent6 2 2 2 2_15% shr of costs" xfId="4143"/>
    <cellStyle name="20% - Accent6 2 2 2 3" xfId="1276"/>
    <cellStyle name="20% - Accent6 2 2 2 3 2" xfId="1277"/>
    <cellStyle name="20% - Accent6 2 2 2 3_15% shr of costs" xfId="4144"/>
    <cellStyle name="20% - Accent6 2 2 2 4" xfId="1278"/>
    <cellStyle name="20% - Accent6 2 2 2 4 2" xfId="1279"/>
    <cellStyle name="20% - Accent6 2 2 2 4_15% shr of costs" xfId="4145"/>
    <cellStyle name="20% - Accent6 2 2 2 5" xfId="1280"/>
    <cellStyle name="20% - Accent6 2 2 2 6" xfId="1281"/>
    <cellStyle name="20% - Accent6 2 2 2 7" xfId="1282"/>
    <cellStyle name="20% - Accent6 2 2 2_15% shr of costs" xfId="4142"/>
    <cellStyle name="20% - Accent6 2 2 3" xfId="1283"/>
    <cellStyle name="20% - Accent6 2 2 3 2" xfId="1284"/>
    <cellStyle name="20% - Accent6 2 2 3 3" xfId="1285"/>
    <cellStyle name="20% - Accent6 2 2 3 4" xfId="1286"/>
    <cellStyle name="20% - Accent6 2 2 3_15% shr of costs" xfId="4146"/>
    <cellStyle name="20% - Accent6 2 2 4" xfId="1287"/>
    <cellStyle name="20% - Accent6 2 2 4 2" xfId="1288"/>
    <cellStyle name="20% - Accent6 2 2 4_15% shr of costs" xfId="4147"/>
    <cellStyle name="20% - Accent6 2 2 5" xfId="1289"/>
    <cellStyle name="20% - Accent6 2 2 5 2" xfId="1290"/>
    <cellStyle name="20% - Accent6 2 2 5_15% shr of costs" xfId="4148"/>
    <cellStyle name="20% - Accent6 2 2 6" xfId="1291"/>
    <cellStyle name="20% - Accent6 2 2 7" xfId="1292"/>
    <cellStyle name="20% - Accent6 2 2 8" xfId="1293"/>
    <cellStyle name="20% - Accent6 2 2_15% shr of costs" xfId="4141"/>
    <cellStyle name="20% - Accent6 2 3" xfId="1294"/>
    <cellStyle name="20% - Accent6 2 3 2" xfId="1295"/>
    <cellStyle name="20% - Accent6 2 3 2 2" xfId="1296"/>
    <cellStyle name="20% - Accent6 2 3 2 3" xfId="1297"/>
    <cellStyle name="20% - Accent6 2 3 2 4" xfId="1298"/>
    <cellStyle name="20% - Accent6 2 3 2_15% shr of costs" xfId="4150"/>
    <cellStyle name="20% - Accent6 2 3 3" xfId="1299"/>
    <cellStyle name="20% - Accent6 2 3 3 2" xfId="1300"/>
    <cellStyle name="20% - Accent6 2 3 3_15% shr of costs" xfId="4151"/>
    <cellStyle name="20% - Accent6 2 3 4" xfId="1301"/>
    <cellStyle name="20% - Accent6 2 3 4 2" xfId="1302"/>
    <cellStyle name="20% - Accent6 2 3 4_15% shr of costs" xfId="4152"/>
    <cellStyle name="20% - Accent6 2 3 5" xfId="1303"/>
    <cellStyle name="20% - Accent6 2 3 6" xfId="1304"/>
    <cellStyle name="20% - Accent6 2 3 7" xfId="1305"/>
    <cellStyle name="20% - Accent6 2 3_15% shr of costs" xfId="4149"/>
    <cellStyle name="20% - Accent6 2 4" xfId="1306"/>
    <cellStyle name="20% - Accent6 2 4 2" xfId="1307"/>
    <cellStyle name="20% - Accent6 2 4 3" xfId="1308"/>
    <cellStyle name="20% - Accent6 2 4 4" xfId="1309"/>
    <cellStyle name="20% - Accent6 2 4_15% shr of costs" xfId="4153"/>
    <cellStyle name="20% - Accent6 2 5" xfId="1310"/>
    <cellStyle name="20% - Accent6 2 5 2" xfId="1311"/>
    <cellStyle name="20% - Accent6 2 5_15% shr of costs" xfId="4154"/>
    <cellStyle name="20% - Accent6 2 6" xfId="1312"/>
    <cellStyle name="20% - Accent6 2 6 2" xfId="1313"/>
    <cellStyle name="20% - Accent6 2 6_15% shr of costs" xfId="4155"/>
    <cellStyle name="20% - Accent6 2 7" xfId="1314"/>
    <cellStyle name="20% - Accent6 2 8" xfId="1315"/>
    <cellStyle name="20% - Accent6 2 9" xfId="1316"/>
    <cellStyle name="20% - Accent6 3" xfId="1317"/>
    <cellStyle name="20% - Accent6 3 2" xfId="1318"/>
    <cellStyle name="20% - Accent6 3 2 2" xfId="1319"/>
    <cellStyle name="20% - Accent6 3 2 2 2" xfId="1320"/>
    <cellStyle name="20% - Accent6 3 2 2 3" xfId="1321"/>
    <cellStyle name="20% - Accent6 3 2 2 4" xfId="1322"/>
    <cellStyle name="20% - Accent6 3 2 2 5" xfId="1323"/>
    <cellStyle name="20% - Accent6 3 2 2_15% shr of costs" xfId="4158"/>
    <cellStyle name="20% - Accent6 3 2 3" xfId="1324"/>
    <cellStyle name="20% - Accent6 3 2 3 2" xfId="1325"/>
    <cellStyle name="20% - Accent6 3 2 3_15% shr of costs" xfId="4159"/>
    <cellStyle name="20% - Accent6 3 2 4" xfId="1326"/>
    <cellStyle name="20% - Accent6 3 2 4 2" xfId="1327"/>
    <cellStyle name="20% - Accent6 3 2 4_15% shr of costs" xfId="4160"/>
    <cellStyle name="20% - Accent6 3 2 5" xfId="1328"/>
    <cellStyle name="20% - Accent6 3 2 6" xfId="1329"/>
    <cellStyle name="20% - Accent6 3 2 7" xfId="1330"/>
    <cellStyle name="20% - Accent6 3 2_15% shr of costs" xfId="4157"/>
    <cellStyle name="20% - Accent6 3 3" xfId="1331"/>
    <cellStyle name="20% - Accent6 3 3 2" xfId="1332"/>
    <cellStyle name="20% - Accent6 3 3 3" xfId="1333"/>
    <cellStyle name="20% - Accent6 3 3 4" xfId="1334"/>
    <cellStyle name="20% - Accent6 3 3 5" xfId="1335"/>
    <cellStyle name="20% - Accent6 3 3_15% shr of costs" xfId="4161"/>
    <cellStyle name="20% - Accent6 3 4" xfId="1336"/>
    <cellStyle name="20% - Accent6 3 4 2" xfId="1337"/>
    <cellStyle name="20% - Accent6 3 4_15% shr of costs" xfId="4162"/>
    <cellStyle name="20% - Accent6 3 5" xfId="1338"/>
    <cellStyle name="20% - Accent6 3 5 2" xfId="1339"/>
    <cellStyle name="20% - Accent6 3 5_15% shr of costs" xfId="4163"/>
    <cellStyle name="20% - Accent6 3 6" xfId="1340"/>
    <cellStyle name="20% - Accent6 3 7" xfId="1341"/>
    <cellStyle name="20% - Accent6 3 8" xfId="1342"/>
    <cellStyle name="20% - Accent6 3_15% shr of costs" xfId="4156"/>
    <cellStyle name="20% - Accent6 4" xfId="1343"/>
    <cellStyle name="20% - Accent6 4 2" xfId="1344"/>
    <cellStyle name="20% - Accent6 4 2 2" xfId="1345"/>
    <cellStyle name="20% - Accent6 4 2 2 2" xfId="1346"/>
    <cellStyle name="20% - Accent6 4 2 2 3" xfId="1347"/>
    <cellStyle name="20% - Accent6 4 2 2 4" xfId="1348"/>
    <cellStyle name="20% - Accent6 4 2 2 5" xfId="1349"/>
    <cellStyle name="20% - Accent6 4 2 2_15% shr of costs" xfId="4166"/>
    <cellStyle name="20% - Accent6 4 2 3" xfId="1350"/>
    <cellStyle name="20% - Accent6 4 2 4" xfId="1351"/>
    <cellStyle name="20% - Accent6 4 2 5" xfId="1352"/>
    <cellStyle name="20% - Accent6 4 2 6" xfId="1353"/>
    <cellStyle name="20% - Accent6 4 2_15% shr of costs" xfId="4165"/>
    <cellStyle name="20% - Accent6 4 3" xfId="1354"/>
    <cellStyle name="20% - Accent6 4 3 2" xfId="1355"/>
    <cellStyle name="20% - Accent6 4 3 3" xfId="1356"/>
    <cellStyle name="20% - Accent6 4 3 4" xfId="1357"/>
    <cellStyle name="20% - Accent6 4 3 5" xfId="1358"/>
    <cellStyle name="20% - Accent6 4 3_15% shr of costs" xfId="4167"/>
    <cellStyle name="20% - Accent6 4 4" xfId="1359"/>
    <cellStyle name="20% - Accent6 4 4 2" xfId="1360"/>
    <cellStyle name="20% - Accent6 4 4_15% shr of costs" xfId="4168"/>
    <cellStyle name="20% - Accent6 4 5" xfId="1361"/>
    <cellStyle name="20% - Accent6 4 6" xfId="1362"/>
    <cellStyle name="20% - Accent6 4 7" xfId="1363"/>
    <cellStyle name="20% - Accent6 4_15% shr of costs" xfId="4164"/>
    <cellStyle name="20% - Accent6 5" xfId="1364"/>
    <cellStyle name="20% - Accent6 5 2" xfId="1365"/>
    <cellStyle name="20% - Accent6 5 2 2" xfId="1366"/>
    <cellStyle name="20% - Accent6 5 2 2 2" xfId="1367"/>
    <cellStyle name="20% - Accent6 5 2 2 3" xfId="1368"/>
    <cellStyle name="20% - Accent6 5 2 2 4" xfId="1369"/>
    <cellStyle name="20% - Accent6 5 2 2 5" xfId="1370"/>
    <cellStyle name="20% - Accent6 5 2 2_15% shr of costs" xfId="4171"/>
    <cellStyle name="20% - Accent6 5 2 3" xfId="1371"/>
    <cellStyle name="20% - Accent6 5 2 4" xfId="1372"/>
    <cellStyle name="20% - Accent6 5 2 5" xfId="1373"/>
    <cellStyle name="20% - Accent6 5 2 6" xfId="1374"/>
    <cellStyle name="20% - Accent6 5 2_15% shr of costs" xfId="4170"/>
    <cellStyle name="20% - Accent6 5 3" xfId="1375"/>
    <cellStyle name="20% - Accent6 5 3 2" xfId="1376"/>
    <cellStyle name="20% - Accent6 5 3 3" xfId="1377"/>
    <cellStyle name="20% - Accent6 5 3 4" xfId="1378"/>
    <cellStyle name="20% - Accent6 5 3 5" xfId="1379"/>
    <cellStyle name="20% - Accent6 5 3_15% shr of costs" xfId="4172"/>
    <cellStyle name="20% - Accent6 5 4" xfId="1380"/>
    <cellStyle name="20% - Accent6 5 5" xfId="1381"/>
    <cellStyle name="20% - Accent6 5 6" xfId="1382"/>
    <cellStyle name="20% - Accent6 5 7" xfId="1383"/>
    <cellStyle name="20% - Accent6 5_15% shr of costs" xfId="4169"/>
    <cellStyle name="20% - Accent6 6" xfId="1384"/>
    <cellStyle name="20% - Accent6 6 2" xfId="1385"/>
    <cellStyle name="20% - Accent6 6 2 2" xfId="1386"/>
    <cellStyle name="20% - Accent6 6 2 2 2" xfId="1387"/>
    <cellStyle name="20% - Accent6 6 2 2 3" xfId="1388"/>
    <cellStyle name="20% - Accent6 6 2 2 4" xfId="1389"/>
    <cellStyle name="20% - Accent6 6 2 2 5" xfId="1390"/>
    <cellStyle name="20% - Accent6 6 2 2_15% shr of costs" xfId="4175"/>
    <cellStyle name="20% - Accent6 6 2 3" xfId="1391"/>
    <cellStyle name="20% - Accent6 6 2 4" xfId="1392"/>
    <cellStyle name="20% - Accent6 6 2 5" xfId="1393"/>
    <cellStyle name="20% - Accent6 6 2 6" xfId="1394"/>
    <cellStyle name="20% - Accent6 6 2_15% shr of costs" xfId="4174"/>
    <cellStyle name="20% - Accent6 6 3" xfId="1395"/>
    <cellStyle name="20% - Accent6 6 3 2" xfId="1396"/>
    <cellStyle name="20% - Accent6 6 3 3" xfId="1397"/>
    <cellStyle name="20% - Accent6 6 3 4" xfId="1398"/>
    <cellStyle name="20% - Accent6 6 3 5" xfId="1399"/>
    <cellStyle name="20% - Accent6 6 3_15% shr of costs" xfId="4176"/>
    <cellStyle name="20% - Accent6 6 4" xfId="1400"/>
    <cellStyle name="20% - Accent6 6 5" xfId="1401"/>
    <cellStyle name="20% - Accent6 6 6" xfId="1402"/>
    <cellStyle name="20% - Accent6 6 7" xfId="1403"/>
    <cellStyle name="20% - Accent6 6_15% shr of costs" xfId="4173"/>
    <cellStyle name="20% - Accent6 7" xfId="1404"/>
    <cellStyle name="20% - Accent6 7 2" xfId="1405"/>
    <cellStyle name="20% - Accent6 7 2 2" xfId="1406"/>
    <cellStyle name="20% - Accent6 7 2 2 2" xfId="1407"/>
    <cellStyle name="20% - Accent6 7 2 2 3" xfId="1408"/>
    <cellStyle name="20% - Accent6 7 2 2 4" xfId="1409"/>
    <cellStyle name="20% - Accent6 7 2 2 5" xfId="1410"/>
    <cellStyle name="20% - Accent6 7 2 2_15% shr of costs" xfId="4179"/>
    <cellStyle name="20% - Accent6 7 2 3" xfId="1411"/>
    <cellStyle name="20% - Accent6 7 2 4" xfId="1412"/>
    <cellStyle name="20% - Accent6 7 2 5" xfId="1413"/>
    <cellStyle name="20% - Accent6 7 2 6" xfId="1414"/>
    <cellStyle name="20% - Accent6 7 2_15% shr of costs" xfId="4178"/>
    <cellStyle name="20% - Accent6 7 3" xfId="1415"/>
    <cellStyle name="20% - Accent6 7 3 2" xfId="1416"/>
    <cellStyle name="20% - Accent6 7 3 3" xfId="1417"/>
    <cellStyle name="20% - Accent6 7 3 4" xfId="1418"/>
    <cellStyle name="20% - Accent6 7 3 5" xfId="1419"/>
    <cellStyle name="20% - Accent6 7 3_15% shr of costs" xfId="4180"/>
    <cellStyle name="20% - Accent6 7 4" xfId="1420"/>
    <cellStyle name="20% - Accent6 7 5" xfId="1421"/>
    <cellStyle name="20% - Accent6 7 6" xfId="1422"/>
    <cellStyle name="20% - Accent6 7 7" xfId="1423"/>
    <cellStyle name="20% - Accent6 7_15% shr of costs" xfId="4177"/>
    <cellStyle name="20% - Accent6 8" xfId="1424"/>
    <cellStyle name="20% - Accent6 8 2" xfId="1425"/>
    <cellStyle name="20% - Accent6 8 2 2" xfId="1426"/>
    <cellStyle name="20% - Accent6 8 2 2 2" xfId="1427"/>
    <cellStyle name="20% - Accent6 8 2 2 3" xfId="1428"/>
    <cellStyle name="20% - Accent6 8 2 2 4" xfId="1429"/>
    <cellStyle name="20% - Accent6 8 2 2 5" xfId="1430"/>
    <cellStyle name="20% - Accent6 8 2 2_15% shr of costs" xfId="4183"/>
    <cellStyle name="20% - Accent6 8 2 3" xfId="1431"/>
    <cellStyle name="20% - Accent6 8 2 4" xfId="1432"/>
    <cellStyle name="20% - Accent6 8 2 5" xfId="1433"/>
    <cellStyle name="20% - Accent6 8 2 6" xfId="1434"/>
    <cellStyle name="20% - Accent6 8 2_15% shr of costs" xfId="4182"/>
    <cellStyle name="20% - Accent6 8 3" xfId="1435"/>
    <cellStyle name="20% - Accent6 8 3 2" xfId="1436"/>
    <cellStyle name="20% - Accent6 8 3 3" xfId="1437"/>
    <cellStyle name="20% - Accent6 8 3 4" xfId="1438"/>
    <cellStyle name="20% - Accent6 8 3 5" xfId="1439"/>
    <cellStyle name="20% - Accent6 8 3_15% shr of costs" xfId="4184"/>
    <cellStyle name="20% - Accent6 8 4" xfId="1440"/>
    <cellStyle name="20% - Accent6 8 5" xfId="1441"/>
    <cellStyle name="20% - Accent6 8 6" xfId="1442"/>
    <cellStyle name="20% - Accent6 8 7" xfId="1443"/>
    <cellStyle name="20% - Accent6 8_15% shr of costs" xfId="4181"/>
    <cellStyle name="20% - Accent6 9" xfId="1444"/>
    <cellStyle name="20% - Accent6 9 2" xfId="1445"/>
    <cellStyle name="20% - Accent6 9 2 2" xfId="1446"/>
    <cellStyle name="20% - Accent6 9 2 3" xfId="1447"/>
    <cellStyle name="20% - Accent6 9 2 4" xfId="1448"/>
    <cellStyle name="20% - Accent6 9 2 5" xfId="1449"/>
    <cellStyle name="20% - Accent6 9 2_15% shr of costs" xfId="4186"/>
    <cellStyle name="20% - Accent6 9 3" xfId="1450"/>
    <cellStyle name="20% - Accent6 9 4" xfId="1451"/>
    <cellStyle name="20% - Accent6 9 5" xfId="1452"/>
    <cellStyle name="20% - Accent6 9 6" xfId="1453"/>
    <cellStyle name="20% - Accent6 9_15% shr of costs" xfId="4185"/>
    <cellStyle name="40% - Accent1 10" xfId="1454"/>
    <cellStyle name="40% - Accent1 10 2" xfId="1455"/>
    <cellStyle name="40% - Accent1 10 3" xfId="1456"/>
    <cellStyle name="40% - Accent1 10 4" xfId="1457"/>
    <cellStyle name="40% - Accent1 10 5" xfId="1458"/>
    <cellStyle name="40% - Accent1 10_15% shr of costs" xfId="4187"/>
    <cellStyle name="40% - Accent1 11" xfId="1459"/>
    <cellStyle name="40% - Accent1 11 2" xfId="1460"/>
    <cellStyle name="40% - Accent1 11 3" xfId="1461"/>
    <cellStyle name="40% - Accent1 11 4" xfId="1462"/>
    <cellStyle name="40% - Accent1 11 5" xfId="1463"/>
    <cellStyle name="40% - Accent1 11_15% shr of costs" xfId="4188"/>
    <cellStyle name="40% - Accent1 12" xfId="1464"/>
    <cellStyle name="40% - Accent1 12 2" xfId="1465"/>
    <cellStyle name="40% - Accent1 12 3" xfId="1466"/>
    <cellStyle name="40% - Accent1 12 4" xfId="1467"/>
    <cellStyle name="40% - Accent1 12_15% shr of costs" xfId="4189"/>
    <cellStyle name="40% - Accent1 13" xfId="1468"/>
    <cellStyle name="40% - Accent1 13 2" xfId="1469"/>
    <cellStyle name="40% - Accent1 13 3" xfId="1470"/>
    <cellStyle name="40% - Accent1 13 4" xfId="1471"/>
    <cellStyle name="40% - Accent1 13_15% shr of costs" xfId="4190"/>
    <cellStyle name="40% - Accent1 14" xfId="1472"/>
    <cellStyle name="40% - Accent1 14 2" xfId="1473"/>
    <cellStyle name="40% - Accent1 14 3" xfId="1474"/>
    <cellStyle name="40% - Accent1 14 4" xfId="1475"/>
    <cellStyle name="40% - Accent1 14_15% shr of costs" xfId="4191"/>
    <cellStyle name="40% - Accent1 15" xfId="1476"/>
    <cellStyle name="40% - Accent1 15 2" xfId="1477"/>
    <cellStyle name="40% - Accent1 15 3" xfId="1478"/>
    <cellStyle name="40% - Accent1 15_15% shr of costs" xfId="4192"/>
    <cellStyle name="40% - Accent1 16" xfId="1479"/>
    <cellStyle name="40% - Accent1 17" xfId="1480"/>
    <cellStyle name="40% - Accent1 2" xfId="1481"/>
    <cellStyle name="40% - Accent1 2 2" xfId="1482"/>
    <cellStyle name="40% - Accent1 2 2 2" xfId="1483"/>
    <cellStyle name="40% - Accent1 2 2 2 2" xfId="1484"/>
    <cellStyle name="40% - Accent1 2 2 2 2 2" xfId="1485"/>
    <cellStyle name="40% - Accent1 2 2 2 2 3" xfId="1486"/>
    <cellStyle name="40% - Accent1 2 2 2 2 4" xfId="1487"/>
    <cellStyle name="40% - Accent1 2 2 2 2_15% shr of costs" xfId="4195"/>
    <cellStyle name="40% - Accent1 2 2 2 3" xfId="1488"/>
    <cellStyle name="40% - Accent1 2 2 2 3 2" xfId="1489"/>
    <cellStyle name="40% - Accent1 2 2 2 3_15% shr of costs" xfId="4196"/>
    <cellStyle name="40% - Accent1 2 2 2 4" xfId="1490"/>
    <cellStyle name="40% - Accent1 2 2 2 4 2" xfId="1491"/>
    <cellStyle name="40% - Accent1 2 2 2 4_15% shr of costs" xfId="4197"/>
    <cellStyle name="40% - Accent1 2 2 2 5" xfId="1492"/>
    <cellStyle name="40% - Accent1 2 2 2 6" xfId="1493"/>
    <cellStyle name="40% - Accent1 2 2 2 7" xfId="1494"/>
    <cellStyle name="40% - Accent1 2 2 2_15% shr of costs" xfId="4194"/>
    <cellStyle name="40% - Accent1 2 2 3" xfId="1495"/>
    <cellStyle name="40% - Accent1 2 2 3 2" xfId="1496"/>
    <cellStyle name="40% - Accent1 2 2 3 3" xfId="1497"/>
    <cellStyle name="40% - Accent1 2 2 3 4" xfId="1498"/>
    <cellStyle name="40% - Accent1 2 2 3_15% shr of costs" xfId="4198"/>
    <cellStyle name="40% - Accent1 2 2 4" xfId="1499"/>
    <cellStyle name="40% - Accent1 2 2 4 2" xfId="1500"/>
    <cellStyle name="40% - Accent1 2 2 4_15% shr of costs" xfId="4199"/>
    <cellStyle name="40% - Accent1 2 2 5" xfId="1501"/>
    <cellStyle name="40% - Accent1 2 2 5 2" xfId="1502"/>
    <cellStyle name="40% - Accent1 2 2 5_15% shr of costs" xfId="4200"/>
    <cellStyle name="40% - Accent1 2 2 6" xfId="1503"/>
    <cellStyle name="40% - Accent1 2 2 7" xfId="1504"/>
    <cellStyle name="40% - Accent1 2 2 8" xfId="1505"/>
    <cellStyle name="40% - Accent1 2 2_15% shr of costs" xfId="4193"/>
    <cellStyle name="40% - Accent1 2 3" xfId="1506"/>
    <cellStyle name="40% - Accent1 2 3 2" xfId="1507"/>
    <cellStyle name="40% - Accent1 2 3 2 2" xfId="1508"/>
    <cellStyle name="40% - Accent1 2 3 2 3" xfId="1509"/>
    <cellStyle name="40% - Accent1 2 3 2 4" xfId="1510"/>
    <cellStyle name="40% - Accent1 2 3 2_15% shr of costs" xfId="4202"/>
    <cellStyle name="40% - Accent1 2 3 3" xfId="1511"/>
    <cellStyle name="40% - Accent1 2 3 3 2" xfId="1512"/>
    <cellStyle name="40% - Accent1 2 3 3_15% shr of costs" xfId="4203"/>
    <cellStyle name="40% - Accent1 2 3 4" xfId="1513"/>
    <cellStyle name="40% - Accent1 2 3 4 2" xfId="1514"/>
    <cellStyle name="40% - Accent1 2 3 4_15% shr of costs" xfId="4204"/>
    <cellStyle name="40% - Accent1 2 3 5" xfId="1515"/>
    <cellStyle name="40% - Accent1 2 3 6" xfId="1516"/>
    <cellStyle name="40% - Accent1 2 3 7" xfId="1517"/>
    <cellStyle name="40% - Accent1 2 3_15% shr of costs" xfId="4201"/>
    <cellStyle name="40% - Accent1 2 4" xfId="1518"/>
    <cellStyle name="40% - Accent1 2 4 2" xfId="1519"/>
    <cellStyle name="40% - Accent1 2 4 3" xfId="1520"/>
    <cellStyle name="40% - Accent1 2 4 4" xfId="1521"/>
    <cellStyle name="40% - Accent1 2 4_15% shr of costs" xfId="4205"/>
    <cellStyle name="40% - Accent1 2 5" xfId="1522"/>
    <cellStyle name="40% - Accent1 2 5 2" xfId="1523"/>
    <cellStyle name="40% - Accent1 2 5_15% shr of costs" xfId="4206"/>
    <cellStyle name="40% - Accent1 2 6" xfId="1524"/>
    <cellStyle name="40% - Accent1 2 6 2" xfId="1525"/>
    <cellStyle name="40% - Accent1 2 6_15% shr of costs" xfId="4207"/>
    <cellStyle name="40% - Accent1 2 7" xfId="1526"/>
    <cellStyle name="40% - Accent1 2 8" xfId="1527"/>
    <cellStyle name="40% - Accent1 2 9" xfId="1528"/>
    <cellStyle name="40% - Accent1 3" xfId="1529"/>
    <cellStyle name="40% - Accent1 3 2" xfId="1530"/>
    <cellStyle name="40% - Accent1 3 2 2" xfId="1531"/>
    <cellStyle name="40% - Accent1 3 2 2 2" xfId="1532"/>
    <cellStyle name="40% - Accent1 3 2 2 3" xfId="1533"/>
    <cellStyle name="40% - Accent1 3 2 2 4" xfId="1534"/>
    <cellStyle name="40% - Accent1 3 2 2 5" xfId="1535"/>
    <cellStyle name="40% - Accent1 3 2 2_15% shr of costs" xfId="4210"/>
    <cellStyle name="40% - Accent1 3 2 3" xfId="1536"/>
    <cellStyle name="40% - Accent1 3 2 3 2" xfId="1537"/>
    <cellStyle name="40% - Accent1 3 2 3_15% shr of costs" xfId="4211"/>
    <cellStyle name="40% - Accent1 3 2 4" xfId="1538"/>
    <cellStyle name="40% - Accent1 3 2 4 2" xfId="1539"/>
    <cellStyle name="40% - Accent1 3 2 4_15% shr of costs" xfId="4212"/>
    <cellStyle name="40% - Accent1 3 2 5" xfId="1540"/>
    <cellStyle name="40% - Accent1 3 2 6" xfId="1541"/>
    <cellStyle name="40% - Accent1 3 2 7" xfId="1542"/>
    <cellStyle name="40% - Accent1 3 2_15% shr of costs" xfId="4209"/>
    <cellStyle name="40% - Accent1 3 3" xfId="1543"/>
    <cellStyle name="40% - Accent1 3 3 2" xfId="1544"/>
    <cellStyle name="40% - Accent1 3 3 3" xfId="1545"/>
    <cellStyle name="40% - Accent1 3 3 4" xfId="1546"/>
    <cellStyle name="40% - Accent1 3 3 5" xfId="1547"/>
    <cellStyle name="40% - Accent1 3 3_15% shr of costs" xfId="4213"/>
    <cellStyle name="40% - Accent1 3 4" xfId="1548"/>
    <cellStyle name="40% - Accent1 3 4 2" xfId="1549"/>
    <cellStyle name="40% - Accent1 3 4_15% shr of costs" xfId="4214"/>
    <cellStyle name="40% - Accent1 3 5" xfId="1550"/>
    <cellStyle name="40% - Accent1 3 5 2" xfId="1551"/>
    <cellStyle name="40% - Accent1 3 5_15% shr of costs" xfId="4215"/>
    <cellStyle name="40% - Accent1 3 6" xfId="1552"/>
    <cellStyle name="40% - Accent1 3 7" xfId="1553"/>
    <cellStyle name="40% - Accent1 3 8" xfId="1554"/>
    <cellStyle name="40% - Accent1 3_15% shr of costs" xfId="4208"/>
    <cellStyle name="40% - Accent1 4" xfId="1555"/>
    <cellStyle name="40% - Accent1 4 2" xfId="1556"/>
    <cellStyle name="40% - Accent1 4 2 2" xfId="1557"/>
    <cellStyle name="40% - Accent1 4 2 2 2" xfId="1558"/>
    <cellStyle name="40% - Accent1 4 2 2 3" xfId="1559"/>
    <cellStyle name="40% - Accent1 4 2 2 4" xfId="1560"/>
    <cellStyle name="40% - Accent1 4 2 2 5" xfId="1561"/>
    <cellStyle name="40% - Accent1 4 2 2_15% shr of costs" xfId="4218"/>
    <cellStyle name="40% - Accent1 4 2 3" xfId="1562"/>
    <cellStyle name="40% - Accent1 4 2 4" xfId="1563"/>
    <cellStyle name="40% - Accent1 4 2 5" xfId="1564"/>
    <cellStyle name="40% - Accent1 4 2 6" xfId="1565"/>
    <cellStyle name="40% - Accent1 4 2_15% shr of costs" xfId="4217"/>
    <cellStyle name="40% - Accent1 4 3" xfId="1566"/>
    <cellStyle name="40% - Accent1 4 3 2" xfId="1567"/>
    <cellStyle name="40% - Accent1 4 3 3" xfId="1568"/>
    <cellStyle name="40% - Accent1 4 3 4" xfId="1569"/>
    <cellStyle name="40% - Accent1 4 3 5" xfId="1570"/>
    <cellStyle name="40% - Accent1 4 3_15% shr of costs" xfId="4219"/>
    <cellStyle name="40% - Accent1 4 4" xfId="1571"/>
    <cellStyle name="40% - Accent1 4 4 2" xfId="1572"/>
    <cellStyle name="40% - Accent1 4 4_15% shr of costs" xfId="4220"/>
    <cellStyle name="40% - Accent1 4 5" xfId="1573"/>
    <cellStyle name="40% - Accent1 4 6" xfId="1574"/>
    <cellStyle name="40% - Accent1 4 7" xfId="1575"/>
    <cellStyle name="40% - Accent1 4_15% shr of costs" xfId="4216"/>
    <cellStyle name="40% - Accent1 5" xfId="1576"/>
    <cellStyle name="40% - Accent1 5 2" xfId="1577"/>
    <cellStyle name="40% - Accent1 5 2 2" xfId="1578"/>
    <cellStyle name="40% - Accent1 5 2 2 2" xfId="1579"/>
    <cellStyle name="40% - Accent1 5 2 2 3" xfId="1580"/>
    <cellStyle name="40% - Accent1 5 2 2 4" xfId="1581"/>
    <cellStyle name="40% - Accent1 5 2 2 5" xfId="1582"/>
    <cellStyle name="40% - Accent1 5 2 2_15% shr of costs" xfId="4223"/>
    <cellStyle name="40% - Accent1 5 2 3" xfId="1583"/>
    <cellStyle name="40% - Accent1 5 2 4" xfId="1584"/>
    <cellStyle name="40% - Accent1 5 2 5" xfId="1585"/>
    <cellStyle name="40% - Accent1 5 2 6" xfId="1586"/>
    <cellStyle name="40% - Accent1 5 2_15% shr of costs" xfId="4222"/>
    <cellStyle name="40% - Accent1 5 3" xfId="1587"/>
    <cellStyle name="40% - Accent1 5 3 2" xfId="1588"/>
    <cellStyle name="40% - Accent1 5 3 3" xfId="1589"/>
    <cellStyle name="40% - Accent1 5 3 4" xfId="1590"/>
    <cellStyle name="40% - Accent1 5 3 5" xfId="1591"/>
    <cellStyle name="40% - Accent1 5 3_15% shr of costs" xfId="4224"/>
    <cellStyle name="40% - Accent1 5 4" xfId="1592"/>
    <cellStyle name="40% - Accent1 5 5" xfId="1593"/>
    <cellStyle name="40% - Accent1 5 6" xfId="1594"/>
    <cellStyle name="40% - Accent1 5 7" xfId="1595"/>
    <cellStyle name="40% - Accent1 5_15% shr of costs" xfId="4221"/>
    <cellStyle name="40% - Accent1 6" xfId="1596"/>
    <cellStyle name="40% - Accent1 6 2" xfId="1597"/>
    <cellStyle name="40% - Accent1 6 2 2" xfId="1598"/>
    <cellStyle name="40% - Accent1 6 2 2 2" xfId="1599"/>
    <cellStyle name="40% - Accent1 6 2 2 3" xfId="1600"/>
    <cellStyle name="40% - Accent1 6 2 2 4" xfId="1601"/>
    <cellStyle name="40% - Accent1 6 2 2 5" xfId="1602"/>
    <cellStyle name="40% - Accent1 6 2 2_15% shr of costs" xfId="4227"/>
    <cellStyle name="40% - Accent1 6 2 3" xfId="1603"/>
    <cellStyle name="40% - Accent1 6 2 4" xfId="1604"/>
    <cellStyle name="40% - Accent1 6 2 5" xfId="1605"/>
    <cellStyle name="40% - Accent1 6 2 6" xfId="1606"/>
    <cellStyle name="40% - Accent1 6 2_15% shr of costs" xfId="4226"/>
    <cellStyle name="40% - Accent1 6 3" xfId="1607"/>
    <cellStyle name="40% - Accent1 6 3 2" xfId="1608"/>
    <cellStyle name="40% - Accent1 6 3 3" xfId="1609"/>
    <cellStyle name="40% - Accent1 6 3 4" xfId="1610"/>
    <cellStyle name="40% - Accent1 6 3 5" xfId="1611"/>
    <cellStyle name="40% - Accent1 6 3_15% shr of costs" xfId="4228"/>
    <cellStyle name="40% - Accent1 6 4" xfId="1612"/>
    <cellStyle name="40% - Accent1 6 5" xfId="1613"/>
    <cellStyle name="40% - Accent1 6 6" xfId="1614"/>
    <cellStyle name="40% - Accent1 6 7" xfId="1615"/>
    <cellStyle name="40% - Accent1 6_15% shr of costs" xfId="4225"/>
    <cellStyle name="40% - Accent1 7" xfId="1616"/>
    <cellStyle name="40% - Accent1 7 2" xfId="1617"/>
    <cellStyle name="40% - Accent1 7 2 2" xfId="1618"/>
    <cellStyle name="40% - Accent1 7 2 2 2" xfId="1619"/>
    <cellStyle name="40% - Accent1 7 2 2 3" xfId="1620"/>
    <cellStyle name="40% - Accent1 7 2 2 4" xfId="1621"/>
    <cellStyle name="40% - Accent1 7 2 2 5" xfId="1622"/>
    <cellStyle name="40% - Accent1 7 2 2_15% shr of costs" xfId="4231"/>
    <cellStyle name="40% - Accent1 7 2 3" xfId="1623"/>
    <cellStyle name="40% - Accent1 7 2 4" xfId="1624"/>
    <cellStyle name="40% - Accent1 7 2 5" xfId="1625"/>
    <cellStyle name="40% - Accent1 7 2 6" xfId="1626"/>
    <cellStyle name="40% - Accent1 7 2_15% shr of costs" xfId="4230"/>
    <cellStyle name="40% - Accent1 7 3" xfId="1627"/>
    <cellStyle name="40% - Accent1 7 3 2" xfId="1628"/>
    <cellStyle name="40% - Accent1 7 3 3" xfId="1629"/>
    <cellStyle name="40% - Accent1 7 3 4" xfId="1630"/>
    <cellStyle name="40% - Accent1 7 3 5" xfId="1631"/>
    <cellStyle name="40% - Accent1 7 3_15% shr of costs" xfId="4232"/>
    <cellStyle name="40% - Accent1 7 4" xfId="1632"/>
    <cellStyle name="40% - Accent1 7 5" xfId="1633"/>
    <cellStyle name="40% - Accent1 7 6" xfId="1634"/>
    <cellStyle name="40% - Accent1 7 7" xfId="1635"/>
    <cellStyle name="40% - Accent1 7_15% shr of costs" xfId="4229"/>
    <cellStyle name="40% - Accent1 8" xfId="1636"/>
    <cellStyle name="40% - Accent1 8 2" xfId="1637"/>
    <cellStyle name="40% - Accent1 8 2 2" xfId="1638"/>
    <cellStyle name="40% - Accent1 8 2 2 2" xfId="1639"/>
    <cellStyle name="40% - Accent1 8 2 2 3" xfId="1640"/>
    <cellStyle name="40% - Accent1 8 2 2 4" xfId="1641"/>
    <cellStyle name="40% - Accent1 8 2 2 5" xfId="1642"/>
    <cellStyle name="40% - Accent1 8 2 2_15% shr of costs" xfId="4235"/>
    <cellStyle name="40% - Accent1 8 2 3" xfId="1643"/>
    <cellStyle name="40% - Accent1 8 2 4" xfId="1644"/>
    <cellStyle name="40% - Accent1 8 2 5" xfId="1645"/>
    <cellStyle name="40% - Accent1 8 2 6" xfId="1646"/>
    <cellStyle name="40% - Accent1 8 2_15% shr of costs" xfId="4234"/>
    <cellStyle name="40% - Accent1 8 3" xfId="1647"/>
    <cellStyle name="40% - Accent1 8 3 2" xfId="1648"/>
    <cellStyle name="40% - Accent1 8 3 3" xfId="1649"/>
    <cellStyle name="40% - Accent1 8 3 4" xfId="1650"/>
    <cellStyle name="40% - Accent1 8 3 5" xfId="1651"/>
    <cellStyle name="40% - Accent1 8 3_15% shr of costs" xfId="4236"/>
    <cellStyle name="40% - Accent1 8 4" xfId="1652"/>
    <cellStyle name="40% - Accent1 8 5" xfId="1653"/>
    <cellStyle name="40% - Accent1 8 6" xfId="1654"/>
    <cellStyle name="40% - Accent1 8 7" xfId="1655"/>
    <cellStyle name="40% - Accent1 8_15% shr of costs" xfId="4233"/>
    <cellStyle name="40% - Accent1 9" xfId="1656"/>
    <cellStyle name="40% - Accent1 9 2" xfId="1657"/>
    <cellStyle name="40% - Accent1 9 2 2" xfId="1658"/>
    <cellStyle name="40% - Accent1 9 2 3" xfId="1659"/>
    <cellStyle name="40% - Accent1 9 2 4" xfId="1660"/>
    <cellStyle name="40% - Accent1 9 2 5" xfId="1661"/>
    <cellStyle name="40% - Accent1 9 2_15% shr of costs" xfId="4238"/>
    <cellStyle name="40% - Accent1 9 3" xfId="1662"/>
    <cellStyle name="40% - Accent1 9 4" xfId="1663"/>
    <cellStyle name="40% - Accent1 9 5" xfId="1664"/>
    <cellStyle name="40% - Accent1 9 6" xfId="1665"/>
    <cellStyle name="40% - Accent1 9_15% shr of costs" xfId="4237"/>
    <cellStyle name="40% - Accent2 10" xfId="1666"/>
    <cellStyle name="40% - Accent2 10 2" xfId="1667"/>
    <cellStyle name="40% - Accent2 10 3" xfId="1668"/>
    <cellStyle name="40% - Accent2 10 4" xfId="1669"/>
    <cellStyle name="40% - Accent2 10 5" xfId="1670"/>
    <cellStyle name="40% - Accent2 10_15% shr of costs" xfId="4239"/>
    <cellStyle name="40% - Accent2 11" xfId="1671"/>
    <cellStyle name="40% - Accent2 11 2" xfId="1672"/>
    <cellStyle name="40% - Accent2 11 3" xfId="1673"/>
    <cellStyle name="40% - Accent2 11 4" xfId="1674"/>
    <cellStyle name="40% - Accent2 11 5" xfId="1675"/>
    <cellStyle name="40% - Accent2 11_15% shr of costs" xfId="4240"/>
    <cellStyle name="40% - Accent2 12" xfId="1676"/>
    <cellStyle name="40% - Accent2 12 2" xfId="1677"/>
    <cellStyle name="40% - Accent2 12 3" xfId="1678"/>
    <cellStyle name="40% - Accent2 12 4" xfId="1679"/>
    <cellStyle name="40% - Accent2 12_15% shr of costs" xfId="4241"/>
    <cellStyle name="40% - Accent2 13" xfId="1680"/>
    <cellStyle name="40% - Accent2 13 2" xfId="1681"/>
    <cellStyle name="40% - Accent2 13 3" xfId="1682"/>
    <cellStyle name="40% - Accent2 13 4" xfId="1683"/>
    <cellStyle name="40% - Accent2 13_15% shr of costs" xfId="4242"/>
    <cellStyle name="40% - Accent2 14" xfId="1684"/>
    <cellStyle name="40% - Accent2 14 2" xfId="1685"/>
    <cellStyle name="40% - Accent2 14 3" xfId="1686"/>
    <cellStyle name="40% - Accent2 14 4" xfId="1687"/>
    <cellStyle name="40% - Accent2 14_15% shr of costs" xfId="4243"/>
    <cellStyle name="40% - Accent2 15" xfId="1688"/>
    <cellStyle name="40% - Accent2 15 2" xfId="1689"/>
    <cellStyle name="40% - Accent2 15 3" xfId="1690"/>
    <cellStyle name="40% - Accent2 15_15% shr of costs" xfId="4244"/>
    <cellStyle name="40% - Accent2 16" xfId="1691"/>
    <cellStyle name="40% - Accent2 17" xfId="1692"/>
    <cellStyle name="40% - Accent2 2" xfId="1693"/>
    <cellStyle name="40% - Accent2 2 2" xfId="1694"/>
    <cellStyle name="40% - Accent2 2 2 2" xfId="1695"/>
    <cellStyle name="40% - Accent2 2 2 2 2" xfId="1696"/>
    <cellStyle name="40% - Accent2 2 2 2 2 2" xfId="1697"/>
    <cellStyle name="40% - Accent2 2 2 2 2 3" xfId="1698"/>
    <cellStyle name="40% - Accent2 2 2 2 2 4" xfId="1699"/>
    <cellStyle name="40% - Accent2 2 2 2 2_15% shr of costs" xfId="4247"/>
    <cellStyle name="40% - Accent2 2 2 2 3" xfId="1700"/>
    <cellStyle name="40% - Accent2 2 2 2 3 2" xfId="1701"/>
    <cellStyle name="40% - Accent2 2 2 2 3_15% shr of costs" xfId="4248"/>
    <cellStyle name="40% - Accent2 2 2 2 4" xfId="1702"/>
    <cellStyle name="40% - Accent2 2 2 2 4 2" xfId="1703"/>
    <cellStyle name="40% - Accent2 2 2 2 4_15% shr of costs" xfId="4249"/>
    <cellStyle name="40% - Accent2 2 2 2 5" xfId="1704"/>
    <cellStyle name="40% - Accent2 2 2 2 6" xfId="1705"/>
    <cellStyle name="40% - Accent2 2 2 2 7" xfId="1706"/>
    <cellStyle name="40% - Accent2 2 2 2_15% shr of costs" xfId="4246"/>
    <cellStyle name="40% - Accent2 2 2 3" xfId="1707"/>
    <cellStyle name="40% - Accent2 2 2 3 2" xfId="1708"/>
    <cellStyle name="40% - Accent2 2 2 3 3" xfId="1709"/>
    <cellStyle name="40% - Accent2 2 2 3 4" xfId="1710"/>
    <cellStyle name="40% - Accent2 2 2 3_15% shr of costs" xfId="4250"/>
    <cellStyle name="40% - Accent2 2 2 4" xfId="1711"/>
    <cellStyle name="40% - Accent2 2 2 4 2" xfId="1712"/>
    <cellStyle name="40% - Accent2 2 2 4_15% shr of costs" xfId="4251"/>
    <cellStyle name="40% - Accent2 2 2 5" xfId="1713"/>
    <cellStyle name="40% - Accent2 2 2 5 2" xfId="1714"/>
    <cellStyle name="40% - Accent2 2 2 5_15% shr of costs" xfId="4252"/>
    <cellStyle name="40% - Accent2 2 2 6" xfId="1715"/>
    <cellStyle name="40% - Accent2 2 2 7" xfId="1716"/>
    <cellStyle name="40% - Accent2 2 2 8" xfId="1717"/>
    <cellStyle name="40% - Accent2 2 2_15% shr of costs" xfId="4245"/>
    <cellStyle name="40% - Accent2 2 3" xfId="1718"/>
    <cellStyle name="40% - Accent2 2 3 2" xfId="1719"/>
    <cellStyle name="40% - Accent2 2 3 2 2" xfId="1720"/>
    <cellStyle name="40% - Accent2 2 3 2 3" xfId="1721"/>
    <cellStyle name="40% - Accent2 2 3 2 4" xfId="1722"/>
    <cellStyle name="40% - Accent2 2 3 2_15% shr of costs" xfId="4254"/>
    <cellStyle name="40% - Accent2 2 3 3" xfId="1723"/>
    <cellStyle name="40% - Accent2 2 3 3 2" xfId="1724"/>
    <cellStyle name="40% - Accent2 2 3 3_15% shr of costs" xfId="4255"/>
    <cellStyle name="40% - Accent2 2 3 4" xfId="1725"/>
    <cellStyle name="40% - Accent2 2 3 4 2" xfId="1726"/>
    <cellStyle name="40% - Accent2 2 3 4_15% shr of costs" xfId="4256"/>
    <cellStyle name="40% - Accent2 2 3 5" xfId="1727"/>
    <cellStyle name="40% - Accent2 2 3 6" xfId="1728"/>
    <cellStyle name="40% - Accent2 2 3 7" xfId="1729"/>
    <cellStyle name="40% - Accent2 2 3_15% shr of costs" xfId="4253"/>
    <cellStyle name="40% - Accent2 2 4" xfId="1730"/>
    <cellStyle name="40% - Accent2 2 4 2" xfId="1731"/>
    <cellStyle name="40% - Accent2 2 4 3" xfId="1732"/>
    <cellStyle name="40% - Accent2 2 4 4" xfId="1733"/>
    <cellStyle name="40% - Accent2 2 4_15% shr of costs" xfId="4257"/>
    <cellStyle name="40% - Accent2 2 5" xfId="1734"/>
    <cellStyle name="40% - Accent2 2 5 2" xfId="1735"/>
    <cellStyle name="40% - Accent2 2 5_15% shr of costs" xfId="4258"/>
    <cellStyle name="40% - Accent2 2 6" xfId="1736"/>
    <cellStyle name="40% - Accent2 2 6 2" xfId="1737"/>
    <cellStyle name="40% - Accent2 2 6_15% shr of costs" xfId="4259"/>
    <cellStyle name="40% - Accent2 2 7" xfId="1738"/>
    <cellStyle name="40% - Accent2 2 8" xfId="1739"/>
    <cellStyle name="40% - Accent2 2 9" xfId="1740"/>
    <cellStyle name="40% - Accent2 3" xfId="1741"/>
    <cellStyle name="40% - Accent2 3 2" xfId="1742"/>
    <cellStyle name="40% - Accent2 3 2 2" xfId="1743"/>
    <cellStyle name="40% - Accent2 3 2 2 2" xfId="1744"/>
    <cellStyle name="40% - Accent2 3 2 2 3" xfId="1745"/>
    <cellStyle name="40% - Accent2 3 2 2 4" xfId="1746"/>
    <cellStyle name="40% - Accent2 3 2 2 5" xfId="1747"/>
    <cellStyle name="40% - Accent2 3 2 2_15% shr of costs" xfId="4262"/>
    <cellStyle name="40% - Accent2 3 2 3" xfId="1748"/>
    <cellStyle name="40% - Accent2 3 2 3 2" xfId="1749"/>
    <cellStyle name="40% - Accent2 3 2 3_15% shr of costs" xfId="4263"/>
    <cellStyle name="40% - Accent2 3 2 4" xfId="1750"/>
    <cellStyle name="40% - Accent2 3 2 4 2" xfId="1751"/>
    <cellStyle name="40% - Accent2 3 2 4_15% shr of costs" xfId="4264"/>
    <cellStyle name="40% - Accent2 3 2 5" xfId="1752"/>
    <cellStyle name="40% - Accent2 3 2 6" xfId="1753"/>
    <cellStyle name="40% - Accent2 3 2 7" xfId="1754"/>
    <cellStyle name="40% - Accent2 3 2_15% shr of costs" xfId="4261"/>
    <cellStyle name="40% - Accent2 3 3" xfId="1755"/>
    <cellStyle name="40% - Accent2 3 3 2" xfId="1756"/>
    <cellStyle name="40% - Accent2 3 3 3" xfId="1757"/>
    <cellStyle name="40% - Accent2 3 3 4" xfId="1758"/>
    <cellStyle name="40% - Accent2 3 3 5" xfId="1759"/>
    <cellStyle name="40% - Accent2 3 3_15% shr of costs" xfId="4265"/>
    <cellStyle name="40% - Accent2 3 4" xfId="1760"/>
    <cellStyle name="40% - Accent2 3 4 2" xfId="1761"/>
    <cellStyle name="40% - Accent2 3 4_15% shr of costs" xfId="4266"/>
    <cellStyle name="40% - Accent2 3 5" xfId="1762"/>
    <cellStyle name="40% - Accent2 3 5 2" xfId="1763"/>
    <cellStyle name="40% - Accent2 3 5_15% shr of costs" xfId="4267"/>
    <cellStyle name="40% - Accent2 3 6" xfId="1764"/>
    <cellStyle name="40% - Accent2 3 7" xfId="1765"/>
    <cellStyle name="40% - Accent2 3 8" xfId="1766"/>
    <cellStyle name="40% - Accent2 3_15% shr of costs" xfId="4260"/>
    <cellStyle name="40% - Accent2 4" xfId="1767"/>
    <cellStyle name="40% - Accent2 4 2" xfId="1768"/>
    <cellStyle name="40% - Accent2 4 2 2" xfId="1769"/>
    <cellStyle name="40% - Accent2 4 2 2 2" xfId="1770"/>
    <cellStyle name="40% - Accent2 4 2 2 3" xfId="1771"/>
    <cellStyle name="40% - Accent2 4 2 2 4" xfId="1772"/>
    <cellStyle name="40% - Accent2 4 2 2 5" xfId="1773"/>
    <cellStyle name="40% - Accent2 4 2 2_15% shr of costs" xfId="4270"/>
    <cellStyle name="40% - Accent2 4 2 3" xfId="1774"/>
    <cellStyle name="40% - Accent2 4 2 4" xfId="1775"/>
    <cellStyle name="40% - Accent2 4 2 5" xfId="1776"/>
    <cellStyle name="40% - Accent2 4 2 6" xfId="1777"/>
    <cellStyle name="40% - Accent2 4 2_15% shr of costs" xfId="4269"/>
    <cellStyle name="40% - Accent2 4 3" xfId="1778"/>
    <cellStyle name="40% - Accent2 4 3 2" xfId="1779"/>
    <cellStyle name="40% - Accent2 4 3 3" xfId="1780"/>
    <cellStyle name="40% - Accent2 4 3 4" xfId="1781"/>
    <cellStyle name="40% - Accent2 4 3 5" xfId="1782"/>
    <cellStyle name="40% - Accent2 4 3_15% shr of costs" xfId="4271"/>
    <cellStyle name="40% - Accent2 4 4" xfId="1783"/>
    <cellStyle name="40% - Accent2 4 4 2" xfId="1784"/>
    <cellStyle name="40% - Accent2 4 4_15% shr of costs" xfId="4272"/>
    <cellStyle name="40% - Accent2 4 5" xfId="1785"/>
    <cellStyle name="40% - Accent2 4 6" xfId="1786"/>
    <cellStyle name="40% - Accent2 4 7" xfId="1787"/>
    <cellStyle name="40% - Accent2 4_15% shr of costs" xfId="4268"/>
    <cellStyle name="40% - Accent2 5" xfId="1788"/>
    <cellStyle name="40% - Accent2 5 2" xfId="1789"/>
    <cellStyle name="40% - Accent2 5 2 2" xfId="1790"/>
    <cellStyle name="40% - Accent2 5 2 2 2" xfId="1791"/>
    <cellStyle name="40% - Accent2 5 2 2 3" xfId="1792"/>
    <cellStyle name="40% - Accent2 5 2 2 4" xfId="1793"/>
    <cellStyle name="40% - Accent2 5 2 2 5" xfId="1794"/>
    <cellStyle name="40% - Accent2 5 2 2_15% shr of costs" xfId="4275"/>
    <cellStyle name="40% - Accent2 5 2 3" xfId="1795"/>
    <cellStyle name="40% - Accent2 5 2 4" xfId="1796"/>
    <cellStyle name="40% - Accent2 5 2 5" xfId="1797"/>
    <cellStyle name="40% - Accent2 5 2 6" xfId="1798"/>
    <cellStyle name="40% - Accent2 5 2_15% shr of costs" xfId="4274"/>
    <cellStyle name="40% - Accent2 5 3" xfId="1799"/>
    <cellStyle name="40% - Accent2 5 3 2" xfId="1800"/>
    <cellStyle name="40% - Accent2 5 3 3" xfId="1801"/>
    <cellStyle name="40% - Accent2 5 3 4" xfId="1802"/>
    <cellStyle name="40% - Accent2 5 3 5" xfId="1803"/>
    <cellStyle name="40% - Accent2 5 3_15% shr of costs" xfId="4276"/>
    <cellStyle name="40% - Accent2 5 4" xfId="1804"/>
    <cellStyle name="40% - Accent2 5 5" xfId="1805"/>
    <cellStyle name="40% - Accent2 5 6" xfId="1806"/>
    <cellStyle name="40% - Accent2 5 7" xfId="1807"/>
    <cellStyle name="40% - Accent2 5_15% shr of costs" xfId="4273"/>
    <cellStyle name="40% - Accent2 6" xfId="1808"/>
    <cellStyle name="40% - Accent2 6 2" xfId="1809"/>
    <cellStyle name="40% - Accent2 6 2 2" xfId="1810"/>
    <cellStyle name="40% - Accent2 6 2 2 2" xfId="1811"/>
    <cellStyle name="40% - Accent2 6 2 2 3" xfId="1812"/>
    <cellStyle name="40% - Accent2 6 2 2 4" xfId="1813"/>
    <cellStyle name="40% - Accent2 6 2 2 5" xfId="1814"/>
    <cellStyle name="40% - Accent2 6 2 2_15% shr of costs" xfId="4279"/>
    <cellStyle name="40% - Accent2 6 2 3" xfId="1815"/>
    <cellStyle name="40% - Accent2 6 2 4" xfId="1816"/>
    <cellStyle name="40% - Accent2 6 2 5" xfId="1817"/>
    <cellStyle name="40% - Accent2 6 2 6" xfId="1818"/>
    <cellStyle name="40% - Accent2 6 2_15% shr of costs" xfId="4278"/>
    <cellStyle name="40% - Accent2 6 3" xfId="1819"/>
    <cellStyle name="40% - Accent2 6 3 2" xfId="1820"/>
    <cellStyle name="40% - Accent2 6 3 3" xfId="1821"/>
    <cellStyle name="40% - Accent2 6 3 4" xfId="1822"/>
    <cellStyle name="40% - Accent2 6 3 5" xfId="1823"/>
    <cellStyle name="40% - Accent2 6 3_15% shr of costs" xfId="4280"/>
    <cellStyle name="40% - Accent2 6 4" xfId="1824"/>
    <cellStyle name="40% - Accent2 6 5" xfId="1825"/>
    <cellStyle name="40% - Accent2 6 6" xfId="1826"/>
    <cellStyle name="40% - Accent2 6 7" xfId="1827"/>
    <cellStyle name="40% - Accent2 6_15% shr of costs" xfId="4277"/>
    <cellStyle name="40% - Accent2 7" xfId="1828"/>
    <cellStyle name="40% - Accent2 7 2" xfId="1829"/>
    <cellStyle name="40% - Accent2 7 2 2" xfId="1830"/>
    <cellStyle name="40% - Accent2 7 2 2 2" xfId="1831"/>
    <cellStyle name="40% - Accent2 7 2 2 3" xfId="1832"/>
    <cellStyle name="40% - Accent2 7 2 2 4" xfId="1833"/>
    <cellStyle name="40% - Accent2 7 2 2 5" xfId="1834"/>
    <cellStyle name="40% - Accent2 7 2 2_15% shr of costs" xfId="4283"/>
    <cellStyle name="40% - Accent2 7 2 3" xfId="1835"/>
    <cellStyle name="40% - Accent2 7 2 4" xfId="1836"/>
    <cellStyle name="40% - Accent2 7 2 5" xfId="1837"/>
    <cellStyle name="40% - Accent2 7 2 6" xfId="1838"/>
    <cellStyle name="40% - Accent2 7 2_15% shr of costs" xfId="4282"/>
    <cellStyle name="40% - Accent2 7 3" xfId="1839"/>
    <cellStyle name="40% - Accent2 7 3 2" xfId="1840"/>
    <cellStyle name="40% - Accent2 7 3 3" xfId="1841"/>
    <cellStyle name="40% - Accent2 7 3 4" xfId="1842"/>
    <cellStyle name="40% - Accent2 7 3 5" xfId="1843"/>
    <cellStyle name="40% - Accent2 7 3_15% shr of costs" xfId="4284"/>
    <cellStyle name="40% - Accent2 7 4" xfId="1844"/>
    <cellStyle name="40% - Accent2 7 5" xfId="1845"/>
    <cellStyle name="40% - Accent2 7 6" xfId="1846"/>
    <cellStyle name="40% - Accent2 7 7" xfId="1847"/>
    <cellStyle name="40% - Accent2 7_15% shr of costs" xfId="4281"/>
    <cellStyle name="40% - Accent2 8" xfId="1848"/>
    <cellStyle name="40% - Accent2 8 2" xfId="1849"/>
    <cellStyle name="40% - Accent2 8 2 2" xfId="1850"/>
    <cellStyle name="40% - Accent2 8 2 2 2" xfId="1851"/>
    <cellStyle name="40% - Accent2 8 2 2 3" xfId="1852"/>
    <cellStyle name="40% - Accent2 8 2 2 4" xfId="1853"/>
    <cellStyle name="40% - Accent2 8 2 2 5" xfId="1854"/>
    <cellStyle name="40% - Accent2 8 2 2_15% shr of costs" xfId="4287"/>
    <cellStyle name="40% - Accent2 8 2 3" xfId="1855"/>
    <cellStyle name="40% - Accent2 8 2 4" xfId="1856"/>
    <cellStyle name="40% - Accent2 8 2 5" xfId="1857"/>
    <cellStyle name="40% - Accent2 8 2 6" xfId="1858"/>
    <cellStyle name="40% - Accent2 8 2_15% shr of costs" xfId="4286"/>
    <cellStyle name="40% - Accent2 8 3" xfId="1859"/>
    <cellStyle name="40% - Accent2 8 3 2" xfId="1860"/>
    <cellStyle name="40% - Accent2 8 3 3" xfId="1861"/>
    <cellStyle name="40% - Accent2 8 3 4" xfId="1862"/>
    <cellStyle name="40% - Accent2 8 3 5" xfId="1863"/>
    <cellStyle name="40% - Accent2 8 3_15% shr of costs" xfId="4288"/>
    <cellStyle name="40% - Accent2 8 4" xfId="1864"/>
    <cellStyle name="40% - Accent2 8 5" xfId="1865"/>
    <cellStyle name="40% - Accent2 8 6" xfId="1866"/>
    <cellStyle name="40% - Accent2 8 7" xfId="1867"/>
    <cellStyle name="40% - Accent2 8_15% shr of costs" xfId="4285"/>
    <cellStyle name="40% - Accent2 9" xfId="1868"/>
    <cellStyle name="40% - Accent2 9 2" xfId="1869"/>
    <cellStyle name="40% - Accent2 9 2 2" xfId="1870"/>
    <cellStyle name="40% - Accent2 9 2 3" xfId="1871"/>
    <cellStyle name="40% - Accent2 9 2 4" xfId="1872"/>
    <cellStyle name="40% - Accent2 9 2 5" xfId="1873"/>
    <cellStyle name="40% - Accent2 9 2_15% shr of costs" xfId="4290"/>
    <cellStyle name="40% - Accent2 9 3" xfId="1874"/>
    <cellStyle name="40% - Accent2 9 4" xfId="1875"/>
    <cellStyle name="40% - Accent2 9 5" xfId="1876"/>
    <cellStyle name="40% - Accent2 9 6" xfId="1877"/>
    <cellStyle name="40% - Accent2 9_15% shr of costs" xfId="4289"/>
    <cellStyle name="40% - Accent3 10" xfId="1878"/>
    <cellStyle name="40% - Accent3 10 2" xfId="1879"/>
    <cellStyle name="40% - Accent3 10 3" xfId="1880"/>
    <cellStyle name="40% - Accent3 10 4" xfId="1881"/>
    <cellStyle name="40% - Accent3 10 5" xfId="1882"/>
    <cellStyle name="40% - Accent3 10_15% shr of costs" xfId="4291"/>
    <cellStyle name="40% - Accent3 11" xfId="1883"/>
    <cellStyle name="40% - Accent3 11 2" xfId="1884"/>
    <cellStyle name="40% - Accent3 11 3" xfId="1885"/>
    <cellStyle name="40% - Accent3 11 4" xfId="1886"/>
    <cellStyle name="40% - Accent3 11 5" xfId="1887"/>
    <cellStyle name="40% - Accent3 11_15% shr of costs" xfId="4292"/>
    <cellStyle name="40% - Accent3 12" xfId="1888"/>
    <cellStyle name="40% - Accent3 12 2" xfId="1889"/>
    <cellStyle name="40% - Accent3 12 3" xfId="1890"/>
    <cellStyle name="40% - Accent3 12 4" xfId="1891"/>
    <cellStyle name="40% - Accent3 12_15% shr of costs" xfId="4293"/>
    <cellStyle name="40% - Accent3 13" xfId="1892"/>
    <cellStyle name="40% - Accent3 13 2" xfId="1893"/>
    <cellStyle name="40% - Accent3 13 3" xfId="1894"/>
    <cellStyle name="40% - Accent3 13 4" xfId="1895"/>
    <cellStyle name="40% - Accent3 13_15% shr of costs" xfId="4294"/>
    <cellStyle name="40% - Accent3 14" xfId="1896"/>
    <cellStyle name="40% - Accent3 14 2" xfId="1897"/>
    <cellStyle name="40% - Accent3 14 3" xfId="1898"/>
    <cellStyle name="40% - Accent3 14 4" xfId="1899"/>
    <cellStyle name="40% - Accent3 14_15% shr of costs" xfId="4295"/>
    <cellStyle name="40% - Accent3 15" xfId="1900"/>
    <cellStyle name="40% - Accent3 15 2" xfId="1901"/>
    <cellStyle name="40% - Accent3 15 3" xfId="1902"/>
    <cellStyle name="40% - Accent3 15_15% shr of costs" xfId="4296"/>
    <cellStyle name="40% - Accent3 16" xfId="1903"/>
    <cellStyle name="40% - Accent3 17" xfId="1904"/>
    <cellStyle name="40% - Accent3 2" xfId="1905"/>
    <cellStyle name="40% - Accent3 2 2" xfId="1906"/>
    <cellStyle name="40% - Accent3 2 2 2" xfId="1907"/>
    <cellStyle name="40% - Accent3 2 2 2 2" xfId="1908"/>
    <cellStyle name="40% - Accent3 2 2 2 2 2" xfId="1909"/>
    <cellStyle name="40% - Accent3 2 2 2 2 3" xfId="1910"/>
    <cellStyle name="40% - Accent3 2 2 2 2 4" xfId="1911"/>
    <cellStyle name="40% - Accent3 2 2 2 2_15% shr of costs" xfId="4299"/>
    <cellStyle name="40% - Accent3 2 2 2 3" xfId="1912"/>
    <cellStyle name="40% - Accent3 2 2 2 3 2" xfId="1913"/>
    <cellStyle name="40% - Accent3 2 2 2 3_15% shr of costs" xfId="4300"/>
    <cellStyle name="40% - Accent3 2 2 2 4" xfId="1914"/>
    <cellStyle name="40% - Accent3 2 2 2 4 2" xfId="1915"/>
    <cellStyle name="40% - Accent3 2 2 2 4_15% shr of costs" xfId="4301"/>
    <cellStyle name="40% - Accent3 2 2 2 5" xfId="1916"/>
    <cellStyle name="40% - Accent3 2 2 2 6" xfId="1917"/>
    <cellStyle name="40% - Accent3 2 2 2 7" xfId="1918"/>
    <cellStyle name="40% - Accent3 2 2 2_15% shr of costs" xfId="4298"/>
    <cellStyle name="40% - Accent3 2 2 3" xfId="1919"/>
    <cellStyle name="40% - Accent3 2 2 3 2" xfId="1920"/>
    <cellStyle name="40% - Accent3 2 2 3 3" xfId="1921"/>
    <cellStyle name="40% - Accent3 2 2 3 4" xfId="1922"/>
    <cellStyle name="40% - Accent3 2 2 3_15% shr of costs" xfId="4302"/>
    <cellStyle name="40% - Accent3 2 2 4" xfId="1923"/>
    <cellStyle name="40% - Accent3 2 2 4 2" xfId="1924"/>
    <cellStyle name="40% - Accent3 2 2 4_15% shr of costs" xfId="4303"/>
    <cellStyle name="40% - Accent3 2 2 5" xfId="1925"/>
    <cellStyle name="40% - Accent3 2 2 5 2" xfId="1926"/>
    <cellStyle name="40% - Accent3 2 2 5_15% shr of costs" xfId="4304"/>
    <cellStyle name="40% - Accent3 2 2 6" xfId="1927"/>
    <cellStyle name="40% - Accent3 2 2 7" xfId="1928"/>
    <cellStyle name="40% - Accent3 2 2 8" xfId="1929"/>
    <cellStyle name="40% - Accent3 2 2_15% shr of costs" xfId="4297"/>
    <cellStyle name="40% - Accent3 2 3" xfId="1930"/>
    <cellStyle name="40% - Accent3 2 3 2" xfId="1931"/>
    <cellStyle name="40% - Accent3 2 3 2 2" xfId="1932"/>
    <cellStyle name="40% - Accent3 2 3 2 3" xfId="1933"/>
    <cellStyle name="40% - Accent3 2 3 2 4" xfId="1934"/>
    <cellStyle name="40% - Accent3 2 3 2_15% shr of costs" xfId="4306"/>
    <cellStyle name="40% - Accent3 2 3 3" xfId="1935"/>
    <cellStyle name="40% - Accent3 2 3 3 2" xfId="1936"/>
    <cellStyle name="40% - Accent3 2 3 3_15% shr of costs" xfId="4307"/>
    <cellStyle name="40% - Accent3 2 3 4" xfId="1937"/>
    <cellStyle name="40% - Accent3 2 3 4 2" xfId="1938"/>
    <cellStyle name="40% - Accent3 2 3 4_15% shr of costs" xfId="4308"/>
    <cellStyle name="40% - Accent3 2 3 5" xfId="1939"/>
    <cellStyle name="40% - Accent3 2 3 6" xfId="1940"/>
    <cellStyle name="40% - Accent3 2 3 7" xfId="1941"/>
    <cellStyle name="40% - Accent3 2 3_15% shr of costs" xfId="4305"/>
    <cellStyle name="40% - Accent3 2 4" xfId="1942"/>
    <cellStyle name="40% - Accent3 2 4 2" xfId="1943"/>
    <cellStyle name="40% - Accent3 2 4 3" xfId="1944"/>
    <cellStyle name="40% - Accent3 2 4 4" xfId="1945"/>
    <cellStyle name="40% - Accent3 2 4_15% shr of costs" xfId="4309"/>
    <cellStyle name="40% - Accent3 2 5" xfId="1946"/>
    <cellStyle name="40% - Accent3 2 5 2" xfId="1947"/>
    <cellStyle name="40% - Accent3 2 5_15% shr of costs" xfId="4310"/>
    <cellStyle name="40% - Accent3 2 6" xfId="1948"/>
    <cellStyle name="40% - Accent3 2 6 2" xfId="1949"/>
    <cellStyle name="40% - Accent3 2 6_15% shr of costs" xfId="4311"/>
    <cellStyle name="40% - Accent3 2 7" xfId="1950"/>
    <cellStyle name="40% - Accent3 2 8" xfId="1951"/>
    <cellStyle name="40% - Accent3 2 9" xfId="1952"/>
    <cellStyle name="40% - Accent3 3" xfId="1953"/>
    <cellStyle name="40% - Accent3 3 2" xfId="1954"/>
    <cellStyle name="40% - Accent3 3 2 2" xfId="1955"/>
    <cellStyle name="40% - Accent3 3 2 2 2" xfId="1956"/>
    <cellStyle name="40% - Accent3 3 2 2 3" xfId="1957"/>
    <cellStyle name="40% - Accent3 3 2 2 4" xfId="1958"/>
    <cellStyle name="40% - Accent3 3 2 2 5" xfId="1959"/>
    <cellStyle name="40% - Accent3 3 2 2_15% shr of costs" xfId="4314"/>
    <cellStyle name="40% - Accent3 3 2 3" xfId="1960"/>
    <cellStyle name="40% - Accent3 3 2 3 2" xfId="1961"/>
    <cellStyle name="40% - Accent3 3 2 3_15% shr of costs" xfId="4315"/>
    <cellStyle name="40% - Accent3 3 2 4" xfId="1962"/>
    <cellStyle name="40% - Accent3 3 2 4 2" xfId="1963"/>
    <cellStyle name="40% - Accent3 3 2 4_15% shr of costs" xfId="4316"/>
    <cellStyle name="40% - Accent3 3 2 5" xfId="1964"/>
    <cellStyle name="40% - Accent3 3 2 6" xfId="1965"/>
    <cellStyle name="40% - Accent3 3 2 7" xfId="1966"/>
    <cellStyle name="40% - Accent3 3 2_15% shr of costs" xfId="4313"/>
    <cellStyle name="40% - Accent3 3 3" xfId="1967"/>
    <cellStyle name="40% - Accent3 3 3 2" xfId="1968"/>
    <cellStyle name="40% - Accent3 3 3 3" xfId="1969"/>
    <cellStyle name="40% - Accent3 3 3 4" xfId="1970"/>
    <cellStyle name="40% - Accent3 3 3 5" xfId="1971"/>
    <cellStyle name="40% - Accent3 3 3_15% shr of costs" xfId="4317"/>
    <cellStyle name="40% - Accent3 3 4" xfId="1972"/>
    <cellStyle name="40% - Accent3 3 4 2" xfId="1973"/>
    <cellStyle name="40% - Accent3 3 4_15% shr of costs" xfId="4318"/>
    <cellStyle name="40% - Accent3 3 5" xfId="1974"/>
    <cellStyle name="40% - Accent3 3 5 2" xfId="1975"/>
    <cellStyle name="40% - Accent3 3 5_15% shr of costs" xfId="4319"/>
    <cellStyle name="40% - Accent3 3 6" xfId="1976"/>
    <cellStyle name="40% - Accent3 3 7" xfId="1977"/>
    <cellStyle name="40% - Accent3 3 8" xfId="1978"/>
    <cellStyle name="40% - Accent3 3_15% shr of costs" xfId="4312"/>
    <cellStyle name="40% - Accent3 4" xfId="1979"/>
    <cellStyle name="40% - Accent3 4 2" xfId="1980"/>
    <cellStyle name="40% - Accent3 4 2 2" xfId="1981"/>
    <cellStyle name="40% - Accent3 4 2 2 2" xfId="1982"/>
    <cellStyle name="40% - Accent3 4 2 2 3" xfId="1983"/>
    <cellStyle name="40% - Accent3 4 2 2 4" xfId="1984"/>
    <cellStyle name="40% - Accent3 4 2 2 5" xfId="1985"/>
    <cellStyle name="40% - Accent3 4 2 2_15% shr of costs" xfId="4322"/>
    <cellStyle name="40% - Accent3 4 2 3" xfId="1986"/>
    <cellStyle name="40% - Accent3 4 2 4" xfId="1987"/>
    <cellStyle name="40% - Accent3 4 2 5" xfId="1988"/>
    <cellStyle name="40% - Accent3 4 2 6" xfId="1989"/>
    <cellStyle name="40% - Accent3 4 2_15% shr of costs" xfId="4321"/>
    <cellStyle name="40% - Accent3 4 3" xfId="1990"/>
    <cellStyle name="40% - Accent3 4 3 2" xfId="1991"/>
    <cellStyle name="40% - Accent3 4 3 3" xfId="1992"/>
    <cellStyle name="40% - Accent3 4 3 4" xfId="1993"/>
    <cellStyle name="40% - Accent3 4 3 5" xfId="1994"/>
    <cellStyle name="40% - Accent3 4 3_15% shr of costs" xfId="4323"/>
    <cellStyle name="40% - Accent3 4 4" xfId="1995"/>
    <cellStyle name="40% - Accent3 4 4 2" xfId="1996"/>
    <cellStyle name="40% - Accent3 4 4_15% shr of costs" xfId="4324"/>
    <cellStyle name="40% - Accent3 4 5" xfId="1997"/>
    <cellStyle name="40% - Accent3 4 6" xfId="1998"/>
    <cellStyle name="40% - Accent3 4 7" xfId="1999"/>
    <cellStyle name="40% - Accent3 4_15% shr of costs" xfId="4320"/>
    <cellStyle name="40% - Accent3 5" xfId="2000"/>
    <cellStyle name="40% - Accent3 5 2" xfId="2001"/>
    <cellStyle name="40% - Accent3 5 2 2" xfId="2002"/>
    <cellStyle name="40% - Accent3 5 2 2 2" xfId="2003"/>
    <cellStyle name="40% - Accent3 5 2 2 3" xfId="2004"/>
    <cellStyle name="40% - Accent3 5 2 2 4" xfId="2005"/>
    <cellStyle name="40% - Accent3 5 2 2 5" xfId="2006"/>
    <cellStyle name="40% - Accent3 5 2 2_15% shr of costs" xfId="4327"/>
    <cellStyle name="40% - Accent3 5 2 3" xfId="2007"/>
    <cellStyle name="40% - Accent3 5 2 4" xfId="2008"/>
    <cellStyle name="40% - Accent3 5 2 5" xfId="2009"/>
    <cellStyle name="40% - Accent3 5 2 6" xfId="2010"/>
    <cellStyle name="40% - Accent3 5 2_15% shr of costs" xfId="4326"/>
    <cellStyle name="40% - Accent3 5 3" xfId="2011"/>
    <cellStyle name="40% - Accent3 5 3 2" xfId="2012"/>
    <cellStyle name="40% - Accent3 5 3 3" xfId="2013"/>
    <cellStyle name="40% - Accent3 5 3 4" xfId="2014"/>
    <cellStyle name="40% - Accent3 5 3 5" xfId="2015"/>
    <cellStyle name="40% - Accent3 5 3_15% shr of costs" xfId="4328"/>
    <cellStyle name="40% - Accent3 5 4" xfId="2016"/>
    <cellStyle name="40% - Accent3 5 5" xfId="2017"/>
    <cellStyle name="40% - Accent3 5 6" xfId="2018"/>
    <cellStyle name="40% - Accent3 5 7" xfId="2019"/>
    <cellStyle name="40% - Accent3 5_15% shr of costs" xfId="4325"/>
    <cellStyle name="40% - Accent3 6" xfId="2020"/>
    <cellStyle name="40% - Accent3 6 2" xfId="2021"/>
    <cellStyle name="40% - Accent3 6 2 2" xfId="2022"/>
    <cellStyle name="40% - Accent3 6 2 2 2" xfId="2023"/>
    <cellStyle name="40% - Accent3 6 2 2 3" xfId="2024"/>
    <cellStyle name="40% - Accent3 6 2 2 4" xfId="2025"/>
    <cellStyle name="40% - Accent3 6 2 2 5" xfId="2026"/>
    <cellStyle name="40% - Accent3 6 2 2_15% shr of costs" xfId="4331"/>
    <cellStyle name="40% - Accent3 6 2 3" xfId="2027"/>
    <cellStyle name="40% - Accent3 6 2 4" xfId="2028"/>
    <cellStyle name="40% - Accent3 6 2 5" xfId="2029"/>
    <cellStyle name="40% - Accent3 6 2 6" xfId="2030"/>
    <cellStyle name="40% - Accent3 6 2_15% shr of costs" xfId="4330"/>
    <cellStyle name="40% - Accent3 6 3" xfId="2031"/>
    <cellStyle name="40% - Accent3 6 3 2" xfId="2032"/>
    <cellStyle name="40% - Accent3 6 3 3" xfId="2033"/>
    <cellStyle name="40% - Accent3 6 3 4" xfId="2034"/>
    <cellStyle name="40% - Accent3 6 3 5" xfId="2035"/>
    <cellStyle name="40% - Accent3 6 3_15% shr of costs" xfId="4332"/>
    <cellStyle name="40% - Accent3 6 4" xfId="2036"/>
    <cellStyle name="40% - Accent3 6 5" xfId="2037"/>
    <cellStyle name="40% - Accent3 6 6" xfId="2038"/>
    <cellStyle name="40% - Accent3 6 7" xfId="2039"/>
    <cellStyle name="40% - Accent3 6_15% shr of costs" xfId="4329"/>
    <cellStyle name="40% - Accent3 7" xfId="2040"/>
    <cellStyle name="40% - Accent3 7 2" xfId="2041"/>
    <cellStyle name="40% - Accent3 7 2 2" xfId="2042"/>
    <cellStyle name="40% - Accent3 7 2 2 2" xfId="2043"/>
    <cellStyle name="40% - Accent3 7 2 2 3" xfId="2044"/>
    <cellStyle name="40% - Accent3 7 2 2 4" xfId="2045"/>
    <cellStyle name="40% - Accent3 7 2 2 5" xfId="2046"/>
    <cellStyle name="40% - Accent3 7 2 2_15% shr of costs" xfId="4335"/>
    <cellStyle name="40% - Accent3 7 2 3" xfId="2047"/>
    <cellStyle name="40% - Accent3 7 2 4" xfId="2048"/>
    <cellStyle name="40% - Accent3 7 2 5" xfId="2049"/>
    <cellStyle name="40% - Accent3 7 2 6" xfId="2050"/>
    <cellStyle name="40% - Accent3 7 2_15% shr of costs" xfId="4334"/>
    <cellStyle name="40% - Accent3 7 3" xfId="2051"/>
    <cellStyle name="40% - Accent3 7 3 2" xfId="2052"/>
    <cellStyle name="40% - Accent3 7 3 3" xfId="2053"/>
    <cellStyle name="40% - Accent3 7 3 4" xfId="2054"/>
    <cellStyle name="40% - Accent3 7 3 5" xfId="2055"/>
    <cellStyle name="40% - Accent3 7 3_15% shr of costs" xfId="4336"/>
    <cellStyle name="40% - Accent3 7 4" xfId="2056"/>
    <cellStyle name="40% - Accent3 7 5" xfId="2057"/>
    <cellStyle name="40% - Accent3 7 6" xfId="2058"/>
    <cellStyle name="40% - Accent3 7 7" xfId="2059"/>
    <cellStyle name="40% - Accent3 7_15% shr of costs" xfId="4333"/>
    <cellStyle name="40% - Accent3 8" xfId="2060"/>
    <cellStyle name="40% - Accent3 8 2" xfId="2061"/>
    <cellStyle name="40% - Accent3 8 2 2" xfId="2062"/>
    <cellStyle name="40% - Accent3 8 2 2 2" xfId="2063"/>
    <cellStyle name="40% - Accent3 8 2 2 3" xfId="2064"/>
    <cellStyle name="40% - Accent3 8 2 2 4" xfId="2065"/>
    <cellStyle name="40% - Accent3 8 2 2 5" xfId="2066"/>
    <cellStyle name="40% - Accent3 8 2 2_15% shr of costs" xfId="4339"/>
    <cellStyle name="40% - Accent3 8 2 3" xfId="2067"/>
    <cellStyle name="40% - Accent3 8 2 4" xfId="2068"/>
    <cellStyle name="40% - Accent3 8 2 5" xfId="2069"/>
    <cellStyle name="40% - Accent3 8 2 6" xfId="2070"/>
    <cellStyle name="40% - Accent3 8 2_15% shr of costs" xfId="4338"/>
    <cellStyle name="40% - Accent3 8 3" xfId="2071"/>
    <cellStyle name="40% - Accent3 8 3 2" xfId="2072"/>
    <cellStyle name="40% - Accent3 8 3 3" xfId="2073"/>
    <cellStyle name="40% - Accent3 8 3 4" xfId="2074"/>
    <cellStyle name="40% - Accent3 8 3 5" xfId="2075"/>
    <cellStyle name="40% - Accent3 8 3_15% shr of costs" xfId="4340"/>
    <cellStyle name="40% - Accent3 8 4" xfId="2076"/>
    <cellStyle name="40% - Accent3 8 5" xfId="2077"/>
    <cellStyle name="40% - Accent3 8 6" xfId="2078"/>
    <cellStyle name="40% - Accent3 8 7" xfId="2079"/>
    <cellStyle name="40% - Accent3 8_15% shr of costs" xfId="4337"/>
    <cellStyle name="40% - Accent3 9" xfId="2080"/>
    <cellStyle name="40% - Accent3 9 2" xfId="2081"/>
    <cellStyle name="40% - Accent3 9 2 2" xfId="2082"/>
    <cellStyle name="40% - Accent3 9 2 3" xfId="2083"/>
    <cellStyle name="40% - Accent3 9 2 4" xfId="2084"/>
    <cellStyle name="40% - Accent3 9 2 5" xfId="2085"/>
    <cellStyle name="40% - Accent3 9 2_15% shr of costs" xfId="4342"/>
    <cellStyle name="40% - Accent3 9 3" xfId="2086"/>
    <cellStyle name="40% - Accent3 9 4" xfId="2087"/>
    <cellStyle name="40% - Accent3 9 5" xfId="2088"/>
    <cellStyle name="40% - Accent3 9 6" xfId="2089"/>
    <cellStyle name="40% - Accent3 9_15% shr of costs" xfId="4341"/>
    <cellStyle name="40% - Accent4 10" xfId="2090"/>
    <cellStyle name="40% - Accent4 10 2" xfId="2091"/>
    <cellStyle name="40% - Accent4 10 3" xfId="2092"/>
    <cellStyle name="40% - Accent4 10 4" xfId="2093"/>
    <cellStyle name="40% - Accent4 10 5" xfId="2094"/>
    <cellStyle name="40% - Accent4 10_15% shr of costs" xfId="4343"/>
    <cellStyle name="40% - Accent4 11" xfId="2095"/>
    <cellStyle name="40% - Accent4 11 2" xfId="2096"/>
    <cellStyle name="40% - Accent4 11 3" xfId="2097"/>
    <cellStyle name="40% - Accent4 11 4" xfId="2098"/>
    <cellStyle name="40% - Accent4 11 5" xfId="2099"/>
    <cellStyle name="40% - Accent4 11_15% shr of costs" xfId="4344"/>
    <cellStyle name="40% - Accent4 12" xfId="2100"/>
    <cellStyle name="40% - Accent4 12 2" xfId="2101"/>
    <cellStyle name="40% - Accent4 12 3" xfId="2102"/>
    <cellStyle name="40% - Accent4 12 4" xfId="2103"/>
    <cellStyle name="40% - Accent4 12_15% shr of costs" xfId="4345"/>
    <cellStyle name="40% - Accent4 13" xfId="2104"/>
    <cellStyle name="40% - Accent4 13 2" xfId="2105"/>
    <cellStyle name="40% - Accent4 13 3" xfId="2106"/>
    <cellStyle name="40% - Accent4 13 4" xfId="2107"/>
    <cellStyle name="40% - Accent4 13_15% shr of costs" xfId="4346"/>
    <cellStyle name="40% - Accent4 14" xfId="2108"/>
    <cellStyle name="40% - Accent4 14 2" xfId="2109"/>
    <cellStyle name="40% - Accent4 14 3" xfId="2110"/>
    <cellStyle name="40% - Accent4 14 4" xfId="2111"/>
    <cellStyle name="40% - Accent4 14_15% shr of costs" xfId="4347"/>
    <cellStyle name="40% - Accent4 15" xfId="2112"/>
    <cellStyle name="40% - Accent4 15 2" xfId="2113"/>
    <cellStyle name="40% - Accent4 15 3" xfId="2114"/>
    <cellStyle name="40% - Accent4 15_15% shr of costs" xfId="4348"/>
    <cellStyle name="40% - Accent4 16" xfId="2115"/>
    <cellStyle name="40% - Accent4 17" xfId="2116"/>
    <cellStyle name="40% - Accent4 2" xfId="2117"/>
    <cellStyle name="40% - Accent4 2 2" xfId="2118"/>
    <cellStyle name="40% - Accent4 2 2 2" xfId="2119"/>
    <cellStyle name="40% - Accent4 2 2 2 2" xfId="2120"/>
    <cellStyle name="40% - Accent4 2 2 2 2 2" xfId="2121"/>
    <cellStyle name="40% - Accent4 2 2 2 2 3" xfId="2122"/>
    <cellStyle name="40% - Accent4 2 2 2 2 4" xfId="2123"/>
    <cellStyle name="40% - Accent4 2 2 2 2_15% shr of costs" xfId="4351"/>
    <cellStyle name="40% - Accent4 2 2 2 3" xfId="2124"/>
    <cellStyle name="40% - Accent4 2 2 2 3 2" xfId="2125"/>
    <cellStyle name="40% - Accent4 2 2 2 3_15% shr of costs" xfId="4352"/>
    <cellStyle name="40% - Accent4 2 2 2 4" xfId="2126"/>
    <cellStyle name="40% - Accent4 2 2 2 4 2" xfId="2127"/>
    <cellStyle name="40% - Accent4 2 2 2 4_15% shr of costs" xfId="4353"/>
    <cellStyle name="40% - Accent4 2 2 2 5" xfId="2128"/>
    <cellStyle name="40% - Accent4 2 2 2 6" xfId="2129"/>
    <cellStyle name="40% - Accent4 2 2 2 7" xfId="2130"/>
    <cellStyle name="40% - Accent4 2 2 2_15% shr of costs" xfId="4350"/>
    <cellStyle name="40% - Accent4 2 2 3" xfId="2131"/>
    <cellStyle name="40% - Accent4 2 2 3 2" xfId="2132"/>
    <cellStyle name="40% - Accent4 2 2 3 3" xfId="2133"/>
    <cellStyle name="40% - Accent4 2 2 3 4" xfId="2134"/>
    <cellStyle name="40% - Accent4 2 2 3_15% shr of costs" xfId="4354"/>
    <cellStyle name="40% - Accent4 2 2 4" xfId="2135"/>
    <cellStyle name="40% - Accent4 2 2 4 2" xfId="2136"/>
    <cellStyle name="40% - Accent4 2 2 4_15% shr of costs" xfId="4355"/>
    <cellStyle name="40% - Accent4 2 2 5" xfId="2137"/>
    <cellStyle name="40% - Accent4 2 2 5 2" xfId="2138"/>
    <cellStyle name="40% - Accent4 2 2 5_15% shr of costs" xfId="4356"/>
    <cellStyle name="40% - Accent4 2 2 6" xfId="2139"/>
    <cellStyle name="40% - Accent4 2 2 7" xfId="2140"/>
    <cellStyle name="40% - Accent4 2 2 8" xfId="2141"/>
    <cellStyle name="40% - Accent4 2 2_15% shr of costs" xfId="4349"/>
    <cellStyle name="40% - Accent4 2 3" xfId="2142"/>
    <cellStyle name="40% - Accent4 2 3 2" xfId="2143"/>
    <cellStyle name="40% - Accent4 2 3 2 2" xfId="2144"/>
    <cellStyle name="40% - Accent4 2 3 2 3" xfId="2145"/>
    <cellStyle name="40% - Accent4 2 3 2 4" xfId="2146"/>
    <cellStyle name="40% - Accent4 2 3 2_15% shr of costs" xfId="4358"/>
    <cellStyle name="40% - Accent4 2 3 3" xfId="2147"/>
    <cellStyle name="40% - Accent4 2 3 3 2" xfId="2148"/>
    <cellStyle name="40% - Accent4 2 3 3_15% shr of costs" xfId="4359"/>
    <cellStyle name="40% - Accent4 2 3 4" xfId="2149"/>
    <cellStyle name="40% - Accent4 2 3 4 2" xfId="2150"/>
    <cellStyle name="40% - Accent4 2 3 4_15% shr of costs" xfId="4360"/>
    <cellStyle name="40% - Accent4 2 3 5" xfId="2151"/>
    <cellStyle name="40% - Accent4 2 3 6" xfId="2152"/>
    <cellStyle name="40% - Accent4 2 3 7" xfId="2153"/>
    <cellStyle name="40% - Accent4 2 3_15% shr of costs" xfId="4357"/>
    <cellStyle name="40% - Accent4 2 4" xfId="2154"/>
    <cellStyle name="40% - Accent4 2 4 2" xfId="2155"/>
    <cellStyle name="40% - Accent4 2 4 3" xfId="2156"/>
    <cellStyle name="40% - Accent4 2 4 4" xfId="2157"/>
    <cellStyle name="40% - Accent4 2 4_15% shr of costs" xfId="4361"/>
    <cellStyle name="40% - Accent4 2 5" xfId="2158"/>
    <cellStyle name="40% - Accent4 2 5 2" xfId="2159"/>
    <cellStyle name="40% - Accent4 2 5_15% shr of costs" xfId="4362"/>
    <cellStyle name="40% - Accent4 2 6" xfId="2160"/>
    <cellStyle name="40% - Accent4 2 6 2" xfId="2161"/>
    <cellStyle name="40% - Accent4 2 6_15% shr of costs" xfId="4363"/>
    <cellStyle name="40% - Accent4 2 7" xfId="2162"/>
    <cellStyle name="40% - Accent4 2 8" xfId="2163"/>
    <cellStyle name="40% - Accent4 2 9" xfId="2164"/>
    <cellStyle name="40% - Accent4 3" xfId="2165"/>
    <cellStyle name="40% - Accent4 3 2" xfId="2166"/>
    <cellStyle name="40% - Accent4 3 2 2" xfId="2167"/>
    <cellStyle name="40% - Accent4 3 2 2 2" xfId="2168"/>
    <cellStyle name="40% - Accent4 3 2 2 3" xfId="2169"/>
    <cellStyle name="40% - Accent4 3 2 2 4" xfId="2170"/>
    <cellStyle name="40% - Accent4 3 2 2 5" xfId="2171"/>
    <cellStyle name="40% - Accent4 3 2 2_15% shr of costs" xfId="4366"/>
    <cellStyle name="40% - Accent4 3 2 3" xfId="2172"/>
    <cellStyle name="40% - Accent4 3 2 3 2" xfId="2173"/>
    <cellStyle name="40% - Accent4 3 2 3_15% shr of costs" xfId="4367"/>
    <cellStyle name="40% - Accent4 3 2 4" xfId="2174"/>
    <cellStyle name="40% - Accent4 3 2 4 2" xfId="2175"/>
    <cellStyle name="40% - Accent4 3 2 4_15% shr of costs" xfId="4368"/>
    <cellStyle name="40% - Accent4 3 2 5" xfId="2176"/>
    <cellStyle name="40% - Accent4 3 2 6" xfId="2177"/>
    <cellStyle name="40% - Accent4 3 2 7" xfId="2178"/>
    <cellStyle name="40% - Accent4 3 2_15% shr of costs" xfId="4365"/>
    <cellStyle name="40% - Accent4 3 3" xfId="2179"/>
    <cellStyle name="40% - Accent4 3 3 2" xfId="2180"/>
    <cellStyle name="40% - Accent4 3 3 3" xfId="2181"/>
    <cellStyle name="40% - Accent4 3 3 4" xfId="2182"/>
    <cellStyle name="40% - Accent4 3 3 5" xfId="2183"/>
    <cellStyle name="40% - Accent4 3 3_15% shr of costs" xfId="4369"/>
    <cellStyle name="40% - Accent4 3 4" xfId="2184"/>
    <cellStyle name="40% - Accent4 3 4 2" xfId="2185"/>
    <cellStyle name="40% - Accent4 3 4_15% shr of costs" xfId="4370"/>
    <cellStyle name="40% - Accent4 3 5" xfId="2186"/>
    <cellStyle name="40% - Accent4 3 5 2" xfId="2187"/>
    <cellStyle name="40% - Accent4 3 5_15% shr of costs" xfId="4371"/>
    <cellStyle name="40% - Accent4 3 6" xfId="2188"/>
    <cellStyle name="40% - Accent4 3 7" xfId="2189"/>
    <cellStyle name="40% - Accent4 3 8" xfId="2190"/>
    <cellStyle name="40% - Accent4 3_15% shr of costs" xfId="4364"/>
    <cellStyle name="40% - Accent4 4" xfId="2191"/>
    <cellStyle name="40% - Accent4 4 2" xfId="2192"/>
    <cellStyle name="40% - Accent4 4 2 2" xfId="2193"/>
    <cellStyle name="40% - Accent4 4 2 2 2" xfId="2194"/>
    <cellStyle name="40% - Accent4 4 2 2 3" xfId="2195"/>
    <cellStyle name="40% - Accent4 4 2 2 4" xfId="2196"/>
    <cellStyle name="40% - Accent4 4 2 2 5" xfId="2197"/>
    <cellStyle name="40% - Accent4 4 2 2_15% shr of costs" xfId="4374"/>
    <cellStyle name="40% - Accent4 4 2 3" xfId="2198"/>
    <cellStyle name="40% - Accent4 4 2 4" xfId="2199"/>
    <cellStyle name="40% - Accent4 4 2 5" xfId="2200"/>
    <cellStyle name="40% - Accent4 4 2 6" xfId="2201"/>
    <cellStyle name="40% - Accent4 4 2_15% shr of costs" xfId="4373"/>
    <cellStyle name="40% - Accent4 4 3" xfId="2202"/>
    <cellStyle name="40% - Accent4 4 3 2" xfId="2203"/>
    <cellStyle name="40% - Accent4 4 3 3" xfId="2204"/>
    <cellStyle name="40% - Accent4 4 3 4" xfId="2205"/>
    <cellStyle name="40% - Accent4 4 3 5" xfId="2206"/>
    <cellStyle name="40% - Accent4 4 3_15% shr of costs" xfId="4375"/>
    <cellStyle name="40% - Accent4 4 4" xfId="2207"/>
    <cellStyle name="40% - Accent4 4 4 2" xfId="2208"/>
    <cellStyle name="40% - Accent4 4 4_15% shr of costs" xfId="4376"/>
    <cellStyle name="40% - Accent4 4 5" xfId="2209"/>
    <cellStyle name="40% - Accent4 4 6" xfId="2210"/>
    <cellStyle name="40% - Accent4 4 7" xfId="2211"/>
    <cellStyle name="40% - Accent4 4_15% shr of costs" xfId="4372"/>
    <cellStyle name="40% - Accent4 5" xfId="2212"/>
    <cellStyle name="40% - Accent4 5 2" xfId="2213"/>
    <cellStyle name="40% - Accent4 5 2 2" xfId="2214"/>
    <cellStyle name="40% - Accent4 5 2 2 2" xfId="2215"/>
    <cellStyle name="40% - Accent4 5 2 2 3" xfId="2216"/>
    <cellStyle name="40% - Accent4 5 2 2 4" xfId="2217"/>
    <cellStyle name="40% - Accent4 5 2 2 5" xfId="2218"/>
    <cellStyle name="40% - Accent4 5 2 2_15% shr of costs" xfId="4379"/>
    <cellStyle name="40% - Accent4 5 2 3" xfId="2219"/>
    <cellStyle name="40% - Accent4 5 2 4" xfId="2220"/>
    <cellStyle name="40% - Accent4 5 2 5" xfId="2221"/>
    <cellStyle name="40% - Accent4 5 2 6" xfId="2222"/>
    <cellStyle name="40% - Accent4 5 2_15% shr of costs" xfId="4378"/>
    <cellStyle name="40% - Accent4 5 3" xfId="2223"/>
    <cellStyle name="40% - Accent4 5 3 2" xfId="2224"/>
    <cellStyle name="40% - Accent4 5 3 3" xfId="2225"/>
    <cellStyle name="40% - Accent4 5 3 4" xfId="2226"/>
    <cellStyle name="40% - Accent4 5 3 5" xfId="2227"/>
    <cellStyle name="40% - Accent4 5 3_15% shr of costs" xfId="4380"/>
    <cellStyle name="40% - Accent4 5 4" xfId="2228"/>
    <cellStyle name="40% - Accent4 5 5" xfId="2229"/>
    <cellStyle name="40% - Accent4 5 6" xfId="2230"/>
    <cellStyle name="40% - Accent4 5 7" xfId="2231"/>
    <cellStyle name="40% - Accent4 5_15% shr of costs" xfId="4377"/>
    <cellStyle name="40% - Accent4 6" xfId="2232"/>
    <cellStyle name="40% - Accent4 6 2" xfId="2233"/>
    <cellStyle name="40% - Accent4 6 2 2" xfId="2234"/>
    <cellStyle name="40% - Accent4 6 2 2 2" xfId="2235"/>
    <cellStyle name="40% - Accent4 6 2 2 3" xfId="2236"/>
    <cellStyle name="40% - Accent4 6 2 2 4" xfId="2237"/>
    <cellStyle name="40% - Accent4 6 2 2 5" xfId="2238"/>
    <cellStyle name="40% - Accent4 6 2 2_15% shr of costs" xfId="4383"/>
    <cellStyle name="40% - Accent4 6 2 3" xfId="2239"/>
    <cellStyle name="40% - Accent4 6 2 4" xfId="2240"/>
    <cellStyle name="40% - Accent4 6 2 5" xfId="2241"/>
    <cellStyle name="40% - Accent4 6 2 6" xfId="2242"/>
    <cellStyle name="40% - Accent4 6 2_15% shr of costs" xfId="4382"/>
    <cellStyle name="40% - Accent4 6 3" xfId="2243"/>
    <cellStyle name="40% - Accent4 6 3 2" xfId="2244"/>
    <cellStyle name="40% - Accent4 6 3 3" xfId="2245"/>
    <cellStyle name="40% - Accent4 6 3 4" xfId="2246"/>
    <cellStyle name="40% - Accent4 6 3 5" xfId="2247"/>
    <cellStyle name="40% - Accent4 6 3_15% shr of costs" xfId="4384"/>
    <cellStyle name="40% - Accent4 6 4" xfId="2248"/>
    <cellStyle name="40% - Accent4 6 5" xfId="2249"/>
    <cellStyle name="40% - Accent4 6 6" xfId="2250"/>
    <cellStyle name="40% - Accent4 6 7" xfId="2251"/>
    <cellStyle name="40% - Accent4 6_15% shr of costs" xfId="4381"/>
    <cellStyle name="40% - Accent4 7" xfId="2252"/>
    <cellStyle name="40% - Accent4 7 2" xfId="2253"/>
    <cellStyle name="40% - Accent4 7 2 2" xfId="2254"/>
    <cellStyle name="40% - Accent4 7 2 2 2" xfId="2255"/>
    <cellStyle name="40% - Accent4 7 2 2 3" xfId="2256"/>
    <cellStyle name="40% - Accent4 7 2 2 4" xfId="2257"/>
    <cellStyle name="40% - Accent4 7 2 2 5" xfId="2258"/>
    <cellStyle name="40% - Accent4 7 2 2_15% shr of costs" xfId="4387"/>
    <cellStyle name="40% - Accent4 7 2 3" xfId="2259"/>
    <cellStyle name="40% - Accent4 7 2 4" xfId="2260"/>
    <cellStyle name="40% - Accent4 7 2 5" xfId="2261"/>
    <cellStyle name="40% - Accent4 7 2 6" xfId="2262"/>
    <cellStyle name="40% - Accent4 7 2_15% shr of costs" xfId="4386"/>
    <cellStyle name="40% - Accent4 7 3" xfId="2263"/>
    <cellStyle name="40% - Accent4 7 3 2" xfId="2264"/>
    <cellStyle name="40% - Accent4 7 3 3" xfId="2265"/>
    <cellStyle name="40% - Accent4 7 3 4" xfId="2266"/>
    <cellStyle name="40% - Accent4 7 3 5" xfId="2267"/>
    <cellStyle name="40% - Accent4 7 3_15% shr of costs" xfId="4388"/>
    <cellStyle name="40% - Accent4 7 4" xfId="2268"/>
    <cellStyle name="40% - Accent4 7 5" xfId="2269"/>
    <cellStyle name="40% - Accent4 7 6" xfId="2270"/>
    <cellStyle name="40% - Accent4 7 7" xfId="2271"/>
    <cellStyle name="40% - Accent4 7_15% shr of costs" xfId="4385"/>
    <cellStyle name="40% - Accent4 8" xfId="2272"/>
    <cellStyle name="40% - Accent4 8 2" xfId="2273"/>
    <cellStyle name="40% - Accent4 8 2 2" xfId="2274"/>
    <cellStyle name="40% - Accent4 8 2 2 2" xfId="2275"/>
    <cellStyle name="40% - Accent4 8 2 2 3" xfId="2276"/>
    <cellStyle name="40% - Accent4 8 2 2 4" xfId="2277"/>
    <cellStyle name="40% - Accent4 8 2 2 5" xfId="2278"/>
    <cellStyle name="40% - Accent4 8 2 2_15% shr of costs" xfId="4391"/>
    <cellStyle name="40% - Accent4 8 2 3" xfId="2279"/>
    <cellStyle name="40% - Accent4 8 2 4" xfId="2280"/>
    <cellStyle name="40% - Accent4 8 2 5" xfId="2281"/>
    <cellStyle name="40% - Accent4 8 2 6" xfId="2282"/>
    <cellStyle name="40% - Accent4 8 2_15% shr of costs" xfId="4390"/>
    <cellStyle name="40% - Accent4 8 3" xfId="2283"/>
    <cellStyle name="40% - Accent4 8 3 2" xfId="2284"/>
    <cellStyle name="40% - Accent4 8 3 3" xfId="2285"/>
    <cellStyle name="40% - Accent4 8 3 4" xfId="2286"/>
    <cellStyle name="40% - Accent4 8 3 5" xfId="2287"/>
    <cellStyle name="40% - Accent4 8 3_15% shr of costs" xfId="4392"/>
    <cellStyle name="40% - Accent4 8 4" xfId="2288"/>
    <cellStyle name="40% - Accent4 8 5" xfId="2289"/>
    <cellStyle name="40% - Accent4 8 6" xfId="2290"/>
    <cellStyle name="40% - Accent4 8 7" xfId="2291"/>
    <cellStyle name="40% - Accent4 8_15% shr of costs" xfId="4389"/>
    <cellStyle name="40% - Accent4 9" xfId="2292"/>
    <cellStyle name="40% - Accent4 9 2" xfId="2293"/>
    <cellStyle name="40% - Accent4 9 2 2" xfId="2294"/>
    <cellStyle name="40% - Accent4 9 2 3" xfId="2295"/>
    <cellStyle name="40% - Accent4 9 2 4" xfId="2296"/>
    <cellStyle name="40% - Accent4 9 2 5" xfId="2297"/>
    <cellStyle name="40% - Accent4 9 2_15% shr of costs" xfId="4394"/>
    <cellStyle name="40% - Accent4 9 3" xfId="2298"/>
    <cellStyle name="40% - Accent4 9 4" xfId="2299"/>
    <cellStyle name="40% - Accent4 9 5" xfId="2300"/>
    <cellStyle name="40% - Accent4 9 6" xfId="2301"/>
    <cellStyle name="40% - Accent4 9_15% shr of costs" xfId="4393"/>
    <cellStyle name="40% - Accent5 10" xfId="2302"/>
    <cellStyle name="40% - Accent5 10 2" xfId="2303"/>
    <cellStyle name="40% - Accent5 10 3" xfId="2304"/>
    <cellStyle name="40% - Accent5 10 4" xfId="2305"/>
    <cellStyle name="40% - Accent5 10 5" xfId="2306"/>
    <cellStyle name="40% - Accent5 10_15% shr of costs" xfId="4395"/>
    <cellStyle name="40% - Accent5 11" xfId="2307"/>
    <cellStyle name="40% - Accent5 11 2" xfId="2308"/>
    <cellStyle name="40% - Accent5 11 3" xfId="2309"/>
    <cellStyle name="40% - Accent5 11 4" xfId="2310"/>
    <cellStyle name="40% - Accent5 11 5" xfId="2311"/>
    <cellStyle name="40% - Accent5 11_15% shr of costs" xfId="4396"/>
    <cellStyle name="40% - Accent5 12" xfId="2312"/>
    <cellStyle name="40% - Accent5 12 2" xfId="2313"/>
    <cellStyle name="40% - Accent5 12 3" xfId="2314"/>
    <cellStyle name="40% - Accent5 12 4" xfId="2315"/>
    <cellStyle name="40% - Accent5 12_15% shr of costs" xfId="4397"/>
    <cellStyle name="40% - Accent5 13" xfId="2316"/>
    <cellStyle name="40% - Accent5 13 2" xfId="2317"/>
    <cellStyle name="40% - Accent5 13 3" xfId="2318"/>
    <cellStyle name="40% - Accent5 13 4" xfId="2319"/>
    <cellStyle name="40% - Accent5 13_15% shr of costs" xfId="4398"/>
    <cellStyle name="40% - Accent5 14" xfId="2320"/>
    <cellStyle name="40% - Accent5 14 2" xfId="2321"/>
    <cellStyle name="40% - Accent5 14 3" xfId="2322"/>
    <cellStyle name="40% - Accent5 14 4" xfId="2323"/>
    <cellStyle name="40% - Accent5 14_15% shr of costs" xfId="4399"/>
    <cellStyle name="40% - Accent5 15" xfId="2324"/>
    <cellStyle name="40% - Accent5 15 2" xfId="2325"/>
    <cellStyle name="40% - Accent5 15 3" xfId="2326"/>
    <cellStyle name="40% - Accent5 15_15% shr of costs" xfId="4400"/>
    <cellStyle name="40% - Accent5 16" xfId="2327"/>
    <cellStyle name="40% - Accent5 17" xfId="2328"/>
    <cellStyle name="40% - Accent5 2" xfId="2329"/>
    <cellStyle name="40% - Accent5 2 2" xfId="2330"/>
    <cellStyle name="40% - Accent5 2 2 2" xfId="2331"/>
    <cellStyle name="40% - Accent5 2 2 2 2" xfId="2332"/>
    <cellStyle name="40% - Accent5 2 2 2 2 2" xfId="2333"/>
    <cellStyle name="40% - Accent5 2 2 2 2 3" xfId="2334"/>
    <cellStyle name="40% - Accent5 2 2 2 2 4" xfId="2335"/>
    <cellStyle name="40% - Accent5 2 2 2 2_15% shr of costs" xfId="4403"/>
    <cellStyle name="40% - Accent5 2 2 2 3" xfId="2336"/>
    <cellStyle name="40% - Accent5 2 2 2 3 2" xfId="2337"/>
    <cellStyle name="40% - Accent5 2 2 2 3_15% shr of costs" xfId="4404"/>
    <cellStyle name="40% - Accent5 2 2 2 4" xfId="2338"/>
    <cellStyle name="40% - Accent5 2 2 2 4 2" xfId="2339"/>
    <cellStyle name="40% - Accent5 2 2 2 4_15% shr of costs" xfId="4405"/>
    <cellStyle name="40% - Accent5 2 2 2 5" xfId="2340"/>
    <cellStyle name="40% - Accent5 2 2 2 6" xfId="2341"/>
    <cellStyle name="40% - Accent5 2 2 2 7" xfId="2342"/>
    <cellStyle name="40% - Accent5 2 2 2_15% shr of costs" xfId="4402"/>
    <cellStyle name="40% - Accent5 2 2 3" xfId="2343"/>
    <cellStyle name="40% - Accent5 2 2 3 2" xfId="2344"/>
    <cellStyle name="40% - Accent5 2 2 3 3" xfId="2345"/>
    <cellStyle name="40% - Accent5 2 2 3 4" xfId="2346"/>
    <cellStyle name="40% - Accent5 2 2 3_15% shr of costs" xfId="4406"/>
    <cellStyle name="40% - Accent5 2 2 4" xfId="2347"/>
    <cellStyle name="40% - Accent5 2 2 4 2" xfId="2348"/>
    <cellStyle name="40% - Accent5 2 2 4_15% shr of costs" xfId="4407"/>
    <cellStyle name="40% - Accent5 2 2 5" xfId="2349"/>
    <cellStyle name="40% - Accent5 2 2 5 2" xfId="2350"/>
    <cellStyle name="40% - Accent5 2 2 5_15% shr of costs" xfId="4408"/>
    <cellStyle name="40% - Accent5 2 2 6" xfId="2351"/>
    <cellStyle name="40% - Accent5 2 2 7" xfId="2352"/>
    <cellStyle name="40% - Accent5 2 2 8" xfId="2353"/>
    <cellStyle name="40% - Accent5 2 2_15% shr of costs" xfId="4401"/>
    <cellStyle name="40% - Accent5 2 3" xfId="2354"/>
    <cellStyle name="40% - Accent5 2 3 2" xfId="2355"/>
    <cellStyle name="40% - Accent5 2 3 2 2" xfId="2356"/>
    <cellStyle name="40% - Accent5 2 3 2 3" xfId="2357"/>
    <cellStyle name="40% - Accent5 2 3 2 4" xfId="2358"/>
    <cellStyle name="40% - Accent5 2 3 2_15% shr of costs" xfId="4410"/>
    <cellStyle name="40% - Accent5 2 3 3" xfId="2359"/>
    <cellStyle name="40% - Accent5 2 3 3 2" xfId="2360"/>
    <cellStyle name="40% - Accent5 2 3 3_15% shr of costs" xfId="4411"/>
    <cellStyle name="40% - Accent5 2 3 4" xfId="2361"/>
    <cellStyle name="40% - Accent5 2 3 4 2" xfId="2362"/>
    <cellStyle name="40% - Accent5 2 3 4_15% shr of costs" xfId="4412"/>
    <cellStyle name="40% - Accent5 2 3 5" xfId="2363"/>
    <cellStyle name="40% - Accent5 2 3 6" xfId="2364"/>
    <cellStyle name="40% - Accent5 2 3 7" xfId="2365"/>
    <cellStyle name="40% - Accent5 2 3_15% shr of costs" xfId="4409"/>
    <cellStyle name="40% - Accent5 2 4" xfId="2366"/>
    <cellStyle name="40% - Accent5 2 4 2" xfId="2367"/>
    <cellStyle name="40% - Accent5 2 4 3" xfId="2368"/>
    <cellStyle name="40% - Accent5 2 4 4" xfId="2369"/>
    <cellStyle name="40% - Accent5 2 4_15% shr of costs" xfId="4413"/>
    <cellStyle name="40% - Accent5 2 5" xfId="2370"/>
    <cellStyle name="40% - Accent5 2 5 2" xfId="2371"/>
    <cellStyle name="40% - Accent5 2 5_15% shr of costs" xfId="4414"/>
    <cellStyle name="40% - Accent5 2 6" xfId="2372"/>
    <cellStyle name="40% - Accent5 2 6 2" xfId="2373"/>
    <cellStyle name="40% - Accent5 2 6_15% shr of costs" xfId="4415"/>
    <cellStyle name="40% - Accent5 2 7" xfId="2374"/>
    <cellStyle name="40% - Accent5 2 8" xfId="2375"/>
    <cellStyle name="40% - Accent5 2 9" xfId="2376"/>
    <cellStyle name="40% - Accent5 3" xfId="2377"/>
    <cellStyle name="40% - Accent5 3 2" xfId="2378"/>
    <cellStyle name="40% - Accent5 3 2 2" xfId="2379"/>
    <cellStyle name="40% - Accent5 3 2 2 2" xfId="2380"/>
    <cellStyle name="40% - Accent5 3 2 2 3" xfId="2381"/>
    <cellStyle name="40% - Accent5 3 2 2 4" xfId="2382"/>
    <cellStyle name="40% - Accent5 3 2 2 5" xfId="2383"/>
    <cellStyle name="40% - Accent5 3 2 2_15% shr of costs" xfId="4418"/>
    <cellStyle name="40% - Accent5 3 2 3" xfId="2384"/>
    <cellStyle name="40% - Accent5 3 2 3 2" xfId="2385"/>
    <cellStyle name="40% - Accent5 3 2 3_15% shr of costs" xfId="4419"/>
    <cellStyle name="40% - Accent5 3 2 4" xfId="2386"/>
    <cellStyle name="40% - Accent5 3 2 4 2" xfId="2387"/>
    <cellStyle name="40% - Accent5 3 2 4_15% shr of costs" xfId="4420"/>
    <cellStyle name="40% - Accent5 3 2 5" xfId="2388"/>
    <cellStyle name="40% - Accent5 3 2 6" xfId="2389"/>
    <cellStyle name="40% - Accent5 3 2 7" xfId="2390"/>
    <cellStyle name="40% - Accent5 3 2_15% shr of costs" xfId="4417"/>
    <cellStyle name="40% - Accent5 3 3" xfId="2391"/>
    <cellStyle name="40% - Accent5 3 3 2" xfId="2392"/>
    <cellStyle name="40% - Accent5 3 3 3" xfId="2393"/>
    <cellStyle name="40% - Accent5 3 3 4" xfId="2394"/>
    <cellStyle name="40% - Accent5 3 3 5" xfId="2395"/>
    <cellStyle name="40% - Accent5 3 3_15% shr of costs" xfId="4421"/>
    <cellStyle name="40% - Accent5 3 4" xfId="2396"/>
    <cellStyle name="40% - Accent5 3 4 2" xfId="2397"/>
    <cellStyle name="40% - Accent5 3 4_15% shr of costs" xfId="4422"/>
    <cellStyle name="40% - Accent5 3 5" xfId="2398"/>
    <cellStyle name="40% - Accent5 3 5 2" xfId="2399"/>
    <cellStyle name="40% - Accent5 3 5_15% shr of costs" xfId="4423"/>
    <cellStyle name="40% - Accent5 3 6" xfId="2400"/>
    <cellStyle name="40% - Accent5 3 7" xfId="2401"/>
    <cellStyle name="40% - Accent5 3 8" xfId="2402"/>
    <cellStyle name="40% - Accent5 3_15% shr of costs" xfId="4416"/>
    <cellStyle name="40% - Accent5 4" xfId="2403"/>
    <cellStyle name="40% - Accent5 4 2" xfId="2404"/>
    <cellStyle name="40% - Accent5 4 2 2" xfId="2405"/>
    <cellStyle name="40% - Accent5 4 2 2 2" xfId="2406"/>
    <cellStyle name="40% - Accent5 4 2 2 3" xfId="2407"/>
    <cellStyle name="40% - Accent5 4 2 2 4" xfId="2408"/>
    <cellStyle name="40% - Accent5 4 2 2 5" xfId="2409"/>
    <cellStyle name="40% - Accent5 4 2 2_15% shr of costs" xfId="4426"/>
    <cellStyle name="40% - Accent5 4 2 3" xfId="2410"/>
    <cellStyle name="40% - Accent5 4 2 4" xfId="2411"/>
    <cellStyle name="40% - Accent5 4 2 5" xfId="2412"/>
    <cellStyle name="40% - Accent5 4 2 6" xfId="2413"/>
    <cellStyle name="40% - Accent5 4 2_15% shr of costs" xfId="4425"/>
    <cellStyle name="40% - Accent5 4 3" xfId="2414"/>
    <cellStyle name="40% - Accent5 4 3 2" xfId="2415"/>
    <cellStyle name="40% - Accent5 4 3 3" xfId="2416"/>
    <cellStyle name="40% - Accent5 4 3 4" xfId="2417"/>
    <cellStyle name="40% - Accent5 4 3 5" xfId="2418"/>
    <cellStyle name="40% - Accent5 4 3_15% shr of costs" xfId="4427"/>
    <cellStyle name="40% - Accent5 4 4" xfId="2419"/>
    <cellStyle name="40% - Accent5 4 4 2" xfId="2420"/>
    <cellStyle name="40% - Accent5 4 4_15% shr of costs" xfId="4428"/>
    <cellStyle name="40% - Accent5 4 5" xfId="2421"/>
    <cellStyle name="40% - Accent5 4 6" xfId="2422"/>
    <cellStyle name="40% - Accent5 4 7" xfId="2423"/>
    <cellStyle name="40% - Accent5 4_15% shr of costs" xfId="4424"/>
    <cellStyle name="40% - Accent5 5" xfId="2424"/>
    <cellStyle name="40% - Accent5 5 2" xfId="2425"/>
    <cellStyle name="40% - Accent5 5 2 2" xfId="2426"/>
    <cellStyle name="40% - Accent5 5 2 2 2" xfId="2427"/>
    <cellStyle name="40% - Accent5 5 2 2 3" xfId="2428"/>
    <cellStyle name="40% - Accent5 5 2 2 4" xfId="2429"/>
    <cellStyle name="40% - Accent5 5 2 2 5" xfId="2430"/>
    <cellStyle name="40% - Accent5 5 2 2_15% shr of costs" xfId="4431"/>
    <cellStyle name="40% - Accent5 5 2 3" xfId="2431"/>
    <cellStyle name="40% - Accent5 5 2 4" xfId="2432"/>
    <cellStyle name="40% - Accent5 5 2 5" xfId="2433"/>
    <cellStyle name="40% - Accent5 5 2 6" xfId="2434"/>
    <cellStyle name="40% - Accent5 5 2_15% shr of costs" xfId="4430"/>
    <cellStyle name="40% - Accent5 5 3" xfId="2435"/>
    <cellStyle name="40% - Accent5 5 3 2" xfId="2436"/>
    <cellStyle name="40% - Accent5 5 3 3" xfId="2437"/>
    <cellStyle name="40% - Accent5 5 3 4" xfId="2438"/>
    <cellStyle name="40% - Accent5 5 3 5" xfId="2439"/>
    <cellStyle name="40% - Accent5 5 3_15% shr of costs" xfId="4432"/>
    <cellStyle name="40% - Accent5 5 4" xfId="2440"/>
    <cellStyle name="40% - Accent5 5 5" xfId="2441"/>
    <cellStyle name="40% - Accent5 5 6" xfId="2442"/>
    <cellStyle name="40% - Accent5 5 7" xfId="2443"/>
    <cellStyle name="40% - Accent5 5_15% shr of costs" xfId="4429"/>
    <cellStyle name="40% - Accent5 6" xfId="2444"/>
    <cellStyle name="40% - Accent5 6 2" xfId="2445"/>
    <cellStyle name="40% - Accent5 6 2 2" xfId="2446"/>
    <cellStyle name="40% - Accent5 6 2 2 2" xfId="2447"/>
    <cellStyle name="40% - Accent5 6 2 2 3" xfId="2448"/>
    <cellStyle name="40% - Accent5 6 2 2 4" xfId="2449"/>
    <cellStyle name="40% - Accent5 6 2 2 5" xfId="2450"/>
    <cellStyle name="40% - Accent5 6 2 2_15% shr of costs" xfId="4435"/>
    <cellStyle name="40% - Accent5 6 2 3" xfId="2451"/>
    <cellStyle name="40% - Accent5 6 2 4" xfId="2452"/>
    <cellStyle name="40% - Accent5 6 2 5" xfId="2453"/>
    <cellStyle name="40% - Accent5 6 2 6" xfId="2454"/>
    <cellStyle name="40% - Accent5 6 2_15% shr of costs" xfId="4434"/>
    <cellStyle name="40% - Accent5 6 3" xfId="2455"/>
    <cellStyle name="40% - Accent5 6 3 2" xfId="2456"/>
    <cellStyle name="40% - Accent5 6 3 3" xfId="2457"/>
    <cellStyle name="40% - Accent5 6 3 4" xfId="2458"/>
    <cellStyle name="40% - Accent5 6 3 5" xfId="2459"/>
    <cellStyle name="40% - Accent5 6 3_15% shr of costs" xfId="4436"/>
    <cellStyle name="40% - Accent5 6 4" xfId="2460"/>
    <cellStyle name="40% - Accent5 6 5" xfId="2461"/>
    <cellStyle name="40% - Accent5 6 6" xfId="2462"/>
    <cellStyle name="40% - Accent5 6 7" xfId="2463"/>
    <cellStyle name="40% - Accent5 6_15% shr of costs" xfId="4433"/>
    <cellStyle name="40% - Accent5 7" xfId="2464"/>
    <cellStyle name="40% - Accent5 7 2" xfId="2465"/>
    <cellStyle name="40% - Accent5 7 2 2" xfId="2466"/>
    <cellStyle name="40% - Accent5 7 2 2 2" xfId="2467"/>
    <cellStyle name="40% - Accent5 7 2 2 3" xfId="2468"/>
    <cellStyle name="40% - Accent5 7 2 2 4" xfId="2469"/>
    <cellStyle name="40% - Accent5 7 2 2 5" xfId="2470"/>
    <cellStyle name="40% - Accent5 7 2 2_15% shr of costs" xfId="4439"/>
    <cellStyle name="40% - Accent5 7 2 3" xfId="2471"/>
    <cellStyle name="40% - Accent5 7 2 4" xfId="2472"/>
    <cellStyle name="40% - Accent5 7 2 5" xfId="2473"/>
    <cellStyle name="40% - Accent5 7 2 6" xfId="2474"/>
    <cellStyle name="40% - Accent5 7 2_15% shr of costs" xfId="4438"/>
    <cellStyle name="40% - Accent5 7 3" xfId="2475"/>
    <cellStyle name="40% - Accent5 7 3 2" xfId="2476"/>
    <cellStyle name="40% - Accent5 7 3 3" xfId="2477"/>
    <cellStyle name="40% - Accent5 7 3 4" xfId="2478"/>
    <cellStyle name="40% - Accent5 7 3 5" xfId="2479"/>
    <cellStyle name="40% - Accent5 7 3_15% shr of costs" xfId="4440"/>
    <cellStyle name="40% - Accent5 7 4" xfId="2480"/>
    <cellStyle name="40% - Accent5 7 5" xfId="2481"/>
    <cellStyle name="40% - Accent5 7 6" xfId="2482"/>
    <cellStyle name="40% - Accent5 7 7" xfId="2483"/>
    <cellStyle name="40% - Accent5 7_15% shr of costs" xfId="4437"/>
    <cellStyle name="40% - Accent5 8" xfId="2484"/>
    <cellStyle name="40% - Accent5 8 2" xfId="2485"/>
    <cellStyle name="40% - Accent5 8 2 2" xfId="2486"/>
    <cellStyle name="40% - Accent5 8 2 2 2" xfId="2487"/>
    <cellStyle name="40% - Accent5 8 2 2 3" xfId="2488"/>
    <cellStyle name="40% - Accent5 8 2 2 4" xfId="2489"/>
    <cellStyle name="40% - Accent5 8 2 2 5" xfId="2490"/>
    <cellStyle name="40% - Accent5 8 2 2_15% shr of costs" xfId="4443"/>
    <cellStyle name="40% - Accent5 8 2 3" xfId="2491"/>
    <cellStyle name="40% - Accent5 8 2 4" xfId="2492"/>
    <cellStyle name="40% - Accent5 8 2 5" xfId="2493"/>
    <cellStyle name="40% - Accent5 8 2 6" xfId="2494"/>
    <cellStyle name="40% - Accent5 8 2_15% shr of costs" xfId="4442"/>
    <cellStyle name="40% - Accent5 8 3" xfId="2495"/>
    <cellStyle name="40% - Accent5 8 3 2" xfId="2496"/>
    <cellStyle name="40% - Accent5 8 3 3" xfId="2497"/>
    <cellStyle name="40% - Accent5 8 3 4" xfId="2498"/>
    <cellStyle name="40% - Accent5 8 3 5" xfId="2499"/>
    <cellStyle name="40% - Accent5 8 3_15% shr of costs" xfId="4444"/>
    <cellStyle name="40% - Accent5 8 4" xfId="2500"/>
    <cellStyle name="40% - Accent5 8 5" xfId="2501"/>
    <cellStyle name="40% - Accent5 8 6" xfId="2502"/>
    <cellStyle name="40% - Accent5 8 7" xfId="2503"/>
    <cellStyle name="40% - Accent5 8_15% shr of costs" xfId="4441"/>
    <cellStyle name="40% - Accent5 9" xfId="2504"/>
    <cellStyle name="40% - Accent5 9 2" xfId="2505"/>
    <cellStyle name="40% - Accent5 9 2 2" xfId="2506"/>
    <cellStyle name="40% - Accent5 9 2 3" xfId="2507"/>
    <cellStyle name="40% - Accent5 9 2 4" xfId="2508"/>
    <cellStyle name="40% - Accent5 9 2 5" xfId="2509"/>
    <cellStyle name="40% - Accent5 9 2_15% shr of costs" xfId="4446"/>
    <cellStyle name="40% - Accent5 9 3" xfId="2510"/>
    <cellStyle name="40% - Accent5 9 4" xfId="2511"/>
    <cellStyle name="40% - Accent5 9 5" xfId="2512"/>
    <cellStyle name="40% - Accent5 9 6" xfId="2513"/>
    <cellStyle name="40% - Accent5 9_15% shr of costs" xfId="4445"/>
    <cellStyle name="40% - Accent6 10" xfId="2514"/>
    <cellStyle name="40% - Accent6 10 2" xfId="2515"/>
    <cellStyle name="40% - Accent6 10 3" xfId="2516"/>
    <cellStyle name="40% - Accent6 10 4" xfId="2517"/>
    <cellStyle name="40% - Accent6 10 5" xfId="2518"/>
    <cellStyle name="40% - Accent6 10_15% shr of costs" xfId="4447"/>
    <cellStyle name="40% - Accent6 11" xfId="2519"/>
    <cellStyle name="40% - Accent6 11 2" xfId="2520"/>
    <cellStyle name="40% - Accent6 11 3" xfId="2521"/>
    <cellStyle name="40% - Accent6 11 4" xfId="2522"/>
    <cellStyle name="40% - Accent6 11 5" xfId="2523"/>
    <cellStyle name="40% - Accent6 11_15% shr of costs" xfId="4448"/>
    <cellStyle name="40% - Accent6 12" xfId="2524"/>
    <cellStyle name="40% - Accent6 12 2" xfId="2525"/>
    <cellStyle name="40% - Accent6 12 3" xfId="2526"/>
    <cellStyle name="40% - Accent6 12 4" xfId="2527"/>
    <cellStyle name="40% - Accent6 12_15% shr of costs" xfId="4449"/>
    <cellStyle name="40% - Accent6 13" xfId="2528"/>
    <cellStyle name="40% - Accent6 13 2" xfId="2529"/>
    <cellStyle name="40% - Accent6 13 3" xfId="2530"/>
    <cellStyle name="40% - Accent6 13 4" xfId="2531"/>
    <cellStyle name="40% - Accent6 13_15% shr of costs" xfId="4450"/>
    <cellStyle name="40% - Accent6 14" xfId="2532"/>
    <cellStyle name="40% - Accent6 14 2" xfId="2533"/>
    <cellStyle name="40% - Accent6 14 3" xfId="2534"/>
    <cellStyle name="40% - Accent6 14 4" xfId="2535"/>
    <cellStyle name="40% - Accent6 14_15% shr of costs" xfId="4451"/>
    <cellStyle name="40% - Accent6 15" xfId="2536"/>
    <cellStyle name="40% - Accent6 15 2" xfId="2537"/>
    <cellStyle name="40% - Accent6 15 3" xfId="2538"/>
    <cellStyle name="40% - Accent6 15_15% shr of costs" xfId="4452"/>
    <cellStyle name="40% - Accent6 16" xfId="2539"/>
    <cellStyle name="40% - Accent6 17" xfId="2540"/>
    <cellStyle name="40% - Accent6 2" xfId="2541"/>
    <cellStyle name="40% - Accent6 2 2" xfId="2542"/>
    <cellStyle name="40% - Accent6 2 2 2" xfId="2543"/>
    <cellStyle name="40% - Accent6 2 2 2 2" xfId="2544"/>
    <cellStyle name="40% - Accent6 2 2 2 2 2" xfId="2545"/>
    <cellStyle name="40% - Accent6 2 2 2 2 3" xfId="2546"/>
    <cellStyle name="40% - Accent6 2 2 2 2 4" xfId="2547"/>
    <cellStyle name="40% - Accent6 2 2 2 2_15% shr of costs" xfId="4455"/>
    <cellStyle name="40% - Accent6 2 2 2 3" xfId="2548"/>
    <cellStyle name="40% - Accent6 2 2 2 3 2" xfId="2549"/>
    <cellStyle name="40% - Accent6 2 2 2 3_15% shr of costs" xfId="4456"/>
    <cellStyle name="40% - Accent6 2 2 2 4" xfId="2550"/>
    <cellStyle name="40% - Accent6 2 2 2 4 2" xfId="2551"/>
    <cellStyle name="40% - Accent6 2 2 2 4_15% shr of costs" xfId="4457"/>
    <cellStyle name="40% - Accent6 2 2 2 5" xfId="2552"/>
    <cellStyle name="40% - Accent6 2 2 2 6" xfId="2553"/>
    <cellStyle name="40% - Accent6 2 2 2 7" xfId="2554"/>
    <cellStyle name="40% - Accent6 2 2 2_15% shr of costs" xfId="4454"/>
    <cellStyle name="40% - Accent6 2 2 3" xfId="2555"/>
    <cellStyle name="40% - Accent6 2 2 3 2" xfId="2556"/>
    <cellStyle name="40% - Accent6 2 2 3 3" xfId="2557"/>
    <cellStyle name="40% - Accent6 2 2 3 4" xfId="2558"/>
    <cellStyle name="40% - Accent6 2 2 3_15% shr of costs" xfId="4458"/>
    <cellStyle name="40% - Accent6 2 2 4" xfId="2559"/>
    <cellStyle name="40% - Accent6 2 2 4 2" xfId="2560"/>
    <cellStyle name="40% - Accent6 2 2 4_15% shr of costs" xfId="4459"/>
    <cellStyle name="40% - Accent6 2 2 5" xfId="2561"/>
    <cellStyle name="40% - Accent6 2 2 5 2" xfId="2562"/>
    <cellStyle name="40% - Accent6 2 2 5_15% shr of costs" xfId="4460"/>
    <cellStyle name="40% - Accent6 2 2 6" xfId="2563"/>
    <cellStyle name="40% - Accent6 2 2 7" xfId="2564"/>
    <cellStyle name="40% - Accent6 2 2 8" xfId="2565"/>
    <cellStyle name="40% - Accent6 2 2_15% shr of costs" xfId="4453"/>
    <cellStyle name="40% - Accent6 2 3" xfId="2566"/>
    <cellStyle name="40% - Accent6 2 3 2" xfId="2567"/>
    <cellStyle name="40% - Accent6 2 3 2 2" xfId="2568"/>
    <cellStyle name="40% - Accent6 2 3 2 3" xfId="2569"/>
    <cellStyle name="40% - Accent6 2 3 2 4" xfId="2570"/>
    <cellStyle name="40% - Accent6 2 3 2_15% shr of costs" xfId="4462"/>
    <cellStyle name="40% - Accent6 2 3 3" xfId="2571"/>
    <cellStyle name="40% - Accent6 2 3 3 2" xfId="2572"/>
    <cellStyle name="40% - Accent6 2 3 3_15% shr of costs" xfId="4463"/>
    <cellStyle name="40% - Accent6 2 3 4" xfId="2573"/>
    <cellStyle name="40% - Accent6 2 3 4 2" xfId="2574"/>
    <cellStyle name="40% - Accent6 2 3 4_15% shr of costs" xfId="4464"/>
    <cellStyle name="40% - Accent6 2 3 5" xfId="2575"/>
    <cellStyle name="40% - Accent6 2 3 6" xfId="2576"/>
    <cellStyle name="40% - Accent6 2 3 7" xfId="2577"/>
    <cellStyle name="40% - Accent6 2 3_15% shr of costs" xfId="4461"/>
    <cellStyle name="40% - Accent6 2 4" xfId="2578"/>
    <cellStyle name="40% - Accent6 2 4 2" xfId="2579"/>
    <cellStyle name="40% - Accent6 2 4 3" xfId="2580"/>
    <cellStyle name="40% - Accent6 2 4 4" xfId="2581"/>
    <cellStyle name="40% - Accent6 2 4_15% shr of costs" xfId="4465"/>
    <cellStyle name="40% - Accent6 2 5" xfId="2582"/>
    <cellStyle name="40% - Accent6 2 5 2" xfId="2583"/>
    <cellStyle name="40% - Accent6 2 5_15% shr of costs" xfId="4466"/>
    <cellStyle name="40% - Accent6 2 6" xfId="2584"/>
    <cellStyle name="40% - Accent6 2 6 2" xfId="2585"/>
    <cellStyle name="40% - Accent6 2 6_15% shr of costs" xfId="4467"/>
    <cellStyle name="40% - Accent6 2 7" xfId="2586"/>
    <cellStyle name="40% - Accent6 2 8" xfId="2587"/>
    <cellStyle name="40% - Accent6 2 9" xfId="2588"/>
    <cellStyle name="40% - Accent6 3" xfId="2589"/>
    <cellStyle name="40% - Accent6 3 2" xfId="2590"/>
    <cellStyle name="40% - Accent6 3 2 2" xfId="2591"/>
    <cellStyle name="40% - Accent6 3 2 2 2" xfId="2592"/>
    <cellStyle name="40% - Accent6 3 2 2 3" xfId="2593"/>
    <cellStyle name="40% - Accent6 3 2 2 4" xfId="2594"/>
    <cellStyle name="40% - Accent6 3 2 2 5" xfId="2595"/>
    <cellStyle name="40% - Accent6 3 2 2_15% shr of costs" xfId="4470"/>
    <cellStyle name="40% - Accent6 3 2 3" xfId="2596"/>
    <cellStyle name="40% - Accent6 3 2 3 2" xfId="2597"/>
    <cellStyle name="40% - Accent6 3 2 3_15% shr of costs" xfId="4471"/>
    <cellStyle name="40% - Accent6 3 2 4" xfId="2598"/>
    <cellStyle name="40% - Accent6 3 2 4 2" xfId="2599"/>
    <cellStyle name="40% - Accent6 3 2 4_15% shr of costs" xfId="4472"/>
    <cellStyle name="40% - Accent6 3 2 5" xfId="2600"/>
    <cellStyle name="40% - Accent6 3 2 6" xfId="2601"/>
    <cellStyle name="40% - Accent6 3 2 7" xfId="2602"/>
    <cellStyle name="40% - Accent6 3 2_15% shr of costs" xfId="4469"/>
    <cellStyle name="40% - Accent6 3 3" xfId="2603"/>
    <cellStyle name="40% - Accent6 3 3 2" xfId="2604"/>
    <cellStyle name="40% - Accent6 3 3 3" xfId="2605"/>
    <cellStyle name="40% - Accent6 3 3 4" xfId="2606"/>
    <cellStyle name="40% - Accent6 3 3 5" xfId="2607"/>
    <cellStyle name="40% - Accent6 3 3_15% shr of costs" xfId="4473"/>
    <cellStyle name="40% - Accent6 3 4" xfId="2608"/>
    <cellStyle name="40% - Accent6 3 4 2" xfId="2609"/>
    <cellStyle name="40% - Accent6 3 4_15% shr of costs" xfId="4474"/>
    <cellStyle name="40% - Accent6 3 5" xfId="2610"/>
    <cellStyle name="40% - Accent6 3 5 2" xfId="2611"/>
    <cellStyle name="40% - Accent6 3 5_15% shr of costs" xfId="4475"/>
    <cellStyle name="40% - Accent6 3 6" xfId="2612"/>
    <cellStyle name="40% - Accent6 3 7" xfId="2613"/>
    <cellStyle name="40% - Accent6 3 8" xfId="2614"/>
    <cellStyle name="40% - Accent6 3_15% shr of costs" xfId="4468"/>
    <cellStyle name="40% - Accent6 4" xfId="2615"/>
    <cellStyle name="40% - Accent6 4 2" xfId="2616"/>
    <cellStyle name="40% - Accent6 4 2 2" xfId="2617"/>
    <cellStyle name="40% - Accent6 4 2 2 2" xfId="2618"/>
    <cellStyle name="40% - Accent6 4 2 2 3" xfId="2619"/>
    <cellStyle name="40% - Accent6 4 2 2 4" xfId="2620"/>
    <cellStyle name="40% - Accent6 4 2 2 5" xfId="2621"/>
    <cellStyle name="40% - Accent6 4 2 2_15% shr of costs" xfId="4478"/>
    <cellStyle name="40% - Accent6 4 2 3" xfId="2622"/>
    <cellStyle name="40% - Accent6 4 2 4" xfId="2623"/>
    <cellStyle name="40% - Accent6 4 2 5" xfId="2624"/>
    <cellStyle name="40% - Accent6 4 2 6" xfId="2625"/>
    <cellStyle name="40% - Accent6 4 2_15% shr of costs" xfId="4477"/>
    <cellStyle name="40% - Accent6 4 3" xfId="2626"/>
    <cellStyle name="40% - Accent6 4 3 2" xfId="2627"/>
    <cellStyle name="40% - Accent6 4 3 3" xfId="2628"/>
    <cellStyle name="40% - Accent6 4 3 4" xfId="2629"/>
    <cellStyle name="40% - Accent6 4 3 5" xfId="2630"/>
    <cellStyle name="40% - Accent6 4 3_15% shr of costs" xfId="4479"/>
    <cellStyle name="40% - Accent6 4 4" xfId="2631"/>
    <cellStyle name="40% - Accent6 4 4 2" xfId="2632"/>
    <cellStyle name="40% - Accent6 4 4_15% shr of costs" xfId="4480"/>
    <cellStyle name="40% - Accent6 4 5" xfId="2633"/>
    <cellStyle name="40% - Accent6 4 6" xfId="2634"/>
    <cellStyle name="40% - Accent6 4 7" xfId="2635"/>
    <cellStyle name="40% - Accent6 4_15% shr of costs" xfId="4476"/>
    <cellStyle name="40% - Accent6 5" xfId="2636"/>
    <cellStyle name="40% - Accent6 5 2" xfId="2637"/>
    <cellStyle name="40% - Accent6 5 2 2" xfId="2638"/>
    <cellStyle name="40% - Accent6 5 2 2 2" xfId="2639"/>
    <cellStyle name="40% - Accent6 5 2 2 3" xfId="2640"/>
    <cellStyle name="40% - Accent6 5 2 2 4" xfId="2641"/>
    <cellStyle name="40% - Accent6 5 2 2 5" xfId="2642"/>
    <cellStyle name="40% - Accent6 5 2 2_15% shr of costs" xfId="4483"/>
    <cellStyle name="40% - Accent6 5 2 3" xfId="2643"/>
    <cellStyle name="40% - Accent6 5 2 4" xfId="2644"/>
    <cellStyle name="40% - Accent6 5 2 5" xfId="2645"/>
    <cellStyle name="40% - Accent6 5 2 6" xfId="2646"/>
    <cellStyle name="40% - Accent6 5 2_15% shr of costs" xfId="4482"/>
    <cellStyle name="40% - Accent6 5 3" xfId="2647"/>
    <cellStyle name="40% - Accent6 5 3 2" xfId="2648"/>
    <cellStyle name="40% - Accent6 5 3 3" xfId="2649"/>
    <cellStyle name="40% - Accent6 5 3 4" xfId="2650"/>
    <cellStyle name="40% - Accent6 5 3 5" xfId="2651"/>
    <cellStyle name="40% - Accent6 5 3_15% shr of costs" xfId="4484"/>
    <cellStyle name="40% - Accent6 5 4" xfId="2652"/>
    <cellStyle name="40% - Accent6 5 5" xfId="2653"/>
    <cellStyle name="40% - Accent6 5 6" xfId="2654"/>
    <cellStyle name="40% - Accent6 5 7" xfId="2655"/>
    <cellStyle name="40% - Accent6 5_15% shr of costs" xfId="4481"/>
    <cellStyle name="40% - Accent6 6" xfId="2656"/>
    <cellStyle name="40% - Accent6 6 2" xfId="2657"/>
    <cellStyle name="40% - Accent6 6 2 2" xfId="2658"/>
    <cellStyle name="40% - Accent6 6 2 2 2" xfId="2659"/>
    <cellStyle name="40% - Accent6 6 2 2 3" xfId="2660"/>
    <cellStyle name="40% - Accent6 6 2 2 4" xfId="2661"/>
    <cellStyle name="40% - Accent6 6 2 2 5" xfId="2662"/>
    <cellStyle name="40% - Accent6 6 2 2_15% shr of costs" xfId="4487"/>
    <cellStyle name="40% - Accent6 6 2 3" xfId="2663"/>
    <cellStyle name="40% - Accent6 6 2 4" xfId="2664"/>
    <cellStyle name="40% - Accent6 6 2 5" xfId="2665"/>
    <cellStyle name="40% - Accent6 6 2 6" xfId="2666"/>
    <cellStyle name="40% - Accent6 6 2_15% shr of costs" xfId="4486"/>
    <cellStyle name="40% - Accent6 6 3" xfId="2667"/>
    <cellStyle name="40% - Accent6 6 3 2" xfId="2668"/>
    <cellStyle name="40% - Accent6 6 3 3" xfId="2669"/>
    <cellStyle name="40% - Accent6 6 3 4" xfId="2670"/>
    <cellStyle name="40% - Accent6 6 3 5" xfId="2671"/>
    <cellStyle name="40% - Accent6 6 3_15% shr of costs" xfId="4488"/>
    <cellStyle name="40% - Accent6 6 4" xfId="2672"/>
    <cellStyle name="40% - Accent6 6 5" xfId="2673"/>
    <cellStyle name="40% - Accent6 6 6" xfId="2674"/>
    <cellStyle name="40% - Accent6 6 7" xfId="2675"/>
    <cellStyle name="40% - Accent6 6_15% shr of costs" xfId="4485"/>
    <cellStyle name="40% - Accent6 7" xfId="2676"/>
    <cellStyle name="40% - Accent6 7 2" xfId="2677"/>
    <cellStyle name="40% - Accent6 7 2 2" xfId="2678"/>
    <cellStyle name="40% - Accent6 7 2 2 2" xfId="2679"/>
    <cellStyle name="40% - Accent6 7 2 2 3" xfId="2680"/>
    <cellStyle name="40% - Accent6 7 2 2 4" xfId="2681"/>
    <cellStyle name="40% - Accent6 7 2 2 5" xfId="2682"/>
    <cellStyle name="40% - Accent6 7 2 2_15% shr of costs" xfId="4491"/>
    <cellStyle name="40% - Accent6 7 2 3" xfId="2683"/>
    <cellStyle name="40% - Accent6 7 2 4" xfId="2684"/>
    <cellStyle name="40% - Accent6 7 2 5" xfId="2685"/>
    <cellStyle name="40% - Accent6 7 2 6" xfId="2686"/>
    <cellStyle name="40% - Accent6 7 2_15% shr of costs" xfId="4490"/>
    <cellStyle name="40% - Accent6 7 3" xfId="2687"/>
    <cellStyle name="40% - Accent6 7 3 2" xfId="2688"/>
    <cellStyle name="40% - Accent6 7 3 3" xfId="2689"/>
    <cellStyle name="40% - Accent6 7 3 4" xfId="2690"/>
    <cellStyle name="40% - Accent6 7 3 5" xfId="2691"/>
    <cellStyle name="40% - Accent6 7 3_15% shr of costs" xfId="4492"/>
    <cellStyle name="40% - Accent6 7 4" xfId="2692"/>
    <cellStyle name="40% - Accent6 7 5" xfId="2693"/>
    <cellStyle name="40% - Accent6 7 6" xfId="2694"/>
    <cellStyle name="40% - Accent6 7 7" xfId="2695"/>
    <cellStyle name="40% - Accent6 7_15% shr of costs" xfId="4489"/>
    <cellStyle name="40% - Accent6 8" xfId="2696"/>
    <cellStyle name="40% - Accent6 8 2" xfId="2697"/>
    <cellStyle name="40% - Accent6 8 2 2" xfId="2698"/>
    <cellStyle name="40% - Accent6 8 2 2 2" xfId="2699"/>
    <cellStyle name="40% - Accent6 8 2 2 3" xfId="2700"/>
    <cellStyle name="40% - Accent6 8 2 2 4" xfId="2701"/>
    <cellStyle name="40% - Accent6 8 2 2 5" xfId="2702"/>
    <cellStyle name="40% - Accent6 8 2 2_15% shr of costs" xfId="4495"/>
    <cellStyle name="40% - Accent6 8 2 3" xfId="2703"/>
    <cellStyle name="40% - Accent6 8 2 4" xfId="2704"/>
    <cellStyle name="40% - Accent6 8 2 5" xfId="2705"/>
    <cellStyle name="40% - Accent6 8 2 6" xfId="2706"/>
    <cellStyle name="40% - Accent6 8 2_15% shr of costs" xfId="4494"/>
    <cellStyle name="40% - Accent6 8 3" xfId="2707"/>
    <cellStyle name="40% - Accent6 8 3 2" xfId="2708"/>
    <cellStyle name="40% - Accent6 8 3 3" xfId="2709"/>
    <cellStyle name="40% - Accent6 8 3 4" xfId="2710"/>
    <cellStyle name="40% - Accent6 8 3 5" xfId="2711"/>
    <cellStyle name="40% - Accent6 8 3_15% shr of costs" xfId="4496"/>
    <cellStyle name="40% - Accent6 8 4" xfId="2712"/>
    <cellStyle name="40% - Accent6 8 5" xfId="2713"/>
    <cellStyle name="40% - Accent6 8 6" xfId="2714"/>
    <cellStyle name="40% - Accent6 8 7" xfId="2715"/>
    <cellStyle name="40% - Accent6 8_15% shr of costs" xfId="4493"/>
    <cellStyle name="40% - Accent6 9" xfId="2716"/>
    <cellStyle name="40% - Accent6 9 2" xfId="2717"/>
    <cellStyle name="40% - Accent6 9 2 2" xfId="2718"/>
    <cellStyle name="40% - Accent6 9 2 3" xfId="2719"/>
    <cellStyle name="40% - Accent6 9 2 4" xfId="2720"/>
    <cellStyle name="40% - Accent6 9 2 5" xfId="2721"/>
    <cellStyle name="40% - Accent6 9 2_15% shr of costs" xfId="4498"/>
    <cellStyle name="40% - Accent6 9 3" xfId="2722"/>
    <cellStyle name="40% - Accent6 9 4" xfId="2723"/>
    <cellStyle name="40% - Accent6 9 5" xfId="2724"/>
    <cellStyle name="40% - Accent6 9 6" xfId="2725"/>
    <cellStyle name="40% - Accent6 9_15% shr of costs" xfId="4497"/>
    <cellStyle name="60% - Accent1 2" xfId="2726"/>
    <cellStyle name="60% - Accent2 2" xfId="2727"/>
    <cellStyle name="60% - Accent3 2" xfId="2728"/>
    <cellStyle name="60% - Accent4 2" xfId="2729"/>
    <cellStyle name="60% - Accent5 2" xfId="2730"/>
    <cellStyle name="60% - Accent6 2" xfId="2731"/>
    <cellStyle name="Accent1 2" xfId="2732"/>
    <cellStyle name="Accent2 2" xfId="2733"/>
    <cellStyle name="Accent3 2" xfId="2734"/>
    <cellStyle name="Accent4 2" xfId="2735"/>
    <cellStyle name="Accent5 2" xfId="2736"/>
    <cellStyle name="Accent6 2" xfId="2737"/>
    <cellStyle name="Bad 2" xfId="2738"/>
    <cellStyle name="Calculation 2" xfId="2739"/>
    <cellStyle name="Check Cell 2" xfId="2740"/>
    <cellStyle name="Comma" xfId="4" builtinId="3"/>
    <cellStyle name="Comma 2" xfId="2"/>
    <cellStyle name="Comma 2 2" xfId="2741"/>
    <cellStyle name="Comma 2 2 2" xfId="2742"/>
    <cellStyle name="Comma 2 2 2 2" xfId="2743"/>
    <cellStyle name="Comma 2 2 2 3" xfId="2744"/>
    <cellStyle name="Comma 2 2 2 4" xfId="2745"/>
    <cellStyle name="Comma 2 2 2 5" xfId="2746"/>
    <cellStyle name="Comma 2 2 3" xfId="2747"/>
    <cellStyle name="Comma 2 2 4" xfId="2748"/>
    <cellStyle name="Comma 2 2 5" xfId="2749"/>
    <cellStyle name="Comma 2 2 6" xfId="2750"/>
    <cellStyle name="Comma 2 3" xfId="2751"/>
    <cellStyle name="Comma 2 3 2" xfId="2752"/>
    <cellStyle name="Comma 2 3 3" xfId="2753"/>
    <cellStyle name="Comma 2 3 4" xfId="2754"/>
    <cellStyle name="Comma 2 3 5" xfId="2755"/>
    <cellStyle name="Comma 2 4" xfId="2756"/>
    <cellStyle name="Comma 2 5" xfId="2757"/>
    <cellStyle name="Comma 2 6" xfId="2758"/>
    <cellStyle name="Comma 2 7" xfId="2759"/>
    <cellStyle name="Comma 2 8" xfId="2760"/>
    <cellStyle name="Comma 2 9" xfId="3764"/>
    <cellStyle name="Comma 3" xfId="2761"/>
    <cellStyle name="Comma 4" xfId="3763"/>
    <cellStyle name="Comma 5" xfId="4741"/>
    <cellStyle name="Currency 2" xfId="3"/>
    <cellStyle name="Currency 3" xfId="2762"/>
    <cellStyle name="Currency 4" xfId="4740"/>
    <cellStyle name="Explanatory Text 2" xfId="2763"/>
    <cellStyle name="Good 2" xfId="2764"/>
    <cellStyle name="Heading" xfId="2765"/>
    <cellStyle name="Heading 1 2" xfId="2766"/>
    <cellStyle name="Heading 2 2" xfId="2767"/>
    <cellStyle name="Heading 2 3" xfId="3759"/>
    <cellStyle name="Heading 3 2" xfId="2768"/>
    <cellStyle name="Heading 4 2" xfId="2769"/>
    <cellStyle name="Heading1" xfId="2770"/>
    <cellStyle name="Hyperlink" xfId="5" builtinId="8"/>
    <cellStyle name="Hyperlink 2" xfId="7"/>
    <cellStyle name="Hyperlink 2 2" xfId="2772"/>
    <cellStyle name="Hyperlink 2 2 2" xfId="3765"/>
    <cellStyle name="Hyperlink 2 2_15% shr of costs" xfId="4499"/>
    <cellStyle name="Hyperlink 2 3" xfId="2773"/>
    <cellStyle name="Hyperlink 2 4" xfId="2771"/>
    <cellStyle name="Hyperlink 3" xfId="10"/>
    <cellStyle name="Hyperlink 3 2" xfId="2774"/>
    <cellStyle name="Hyperlink 3 2 2" xfId="3767"/>
    <cellStyle name="Hyperlink 3 2_15% shr of costs" xfId="4501"/>
    <cellStyle name="Hyperlink 3 3" xfId="3766"/>
    <cellStyle name="Hyperlink 3_15% shr of costs" xfId="4500"/>
    <cellStyle name="Hyperlink 4" xfId="3768"/>
    <cellStyle name="Hyperlink 5" xfId="3769"/>
    <cellStyle name="Input 2" xfId="2775"/>
    <cellStyle name="Linked Cell 2" xfId="2776"/>
    <cellStyle name="Microsoft Excel found an error in the formula you entered. Do you want to accept the correction proposed below?_x000a__x000a_|_x000a__x000a_• To accept the correction, click Yes._x000a_• To close this message and correct the formula yourself, click No." xfId="2777"/>
    <cellStyle name="Microsoft Excel found an error in the formula you entered. Do you want to accept the correction proposed below?_x000a__x000a_|_x000a__x000a_• To accept the correction, click Yes._x000a_• To close this message and correct the formula yourself, click No. 2" xfId="2778"/>
    <cellStyle name="Neutral 2" xfId="2779"/>
    <cellStyle name="Normal" xfId="0" builtinId="0"/>
    <cellStyle name="Normal 10" xfId="2780"/>
    <cellStyle name="Normal 10 2" xfId="2781"/>
    <cellStyle name="Normal 10 2 2" xfId="2782"/>
    <cellStyle name="Normal 10 2 2 2" xfId="2783"/>
    <cellStyle name="Normal 10 2 2 3" xfId="2784"/>
    <cellStyle name="Normal 10 2 2 4" xfId="2785"/>
    <cellStyle name="Normal 10 2 2 5" xfId="3772"/>
    <cellStyle name="Normal 10 2 2_15% shr of costs" xfId="4504"/>
    <cellStyle name="Normal 10 2 3" xfId="2786"/>
    <cellStyle name="Normal 10 2 3 2" xfId="2787"/>
    <cellStyle name="Normal 10 2 3_15% shr of costs" xfId="4505"/>
    <cellStyle name="Normal 10 2 4" xfId="2788"/>
    <cellStyle name="Normal 10 2 4 2" xfId="2789"/>
    <cellStyle name="Normal 10 2 4_15% shr of costs" xfId="4506"/>
    <cellStyle name="Normal 10 2 5" xfId="2790"/>
    <cellStyle name="Normal 10 2 6" xfId="2791"/>
    <cellStyle name="Normal 10 2 7" xfId="2792"/>
    <cellStyle name="Normal 10 2 8" xfId="3771"/>
    <cellStyle name="Normal 10 3" xfId="2793"/>
    <cellStyle name="Normal 10 3 2" xfId="2794"/>
    <cellStyle name="Normal 10 3 3" xfId="2795"/>
    <cellStyle name="Normal 10 3 4" xfId="2796"/>
    <cellStyle name="Normal 10 3 5" xfId="3773"/>
    <cellStyle name="Normal 10 3_15% shr of costs" xfId="4507"/>
    <cellStyle name="Normal 10 4" xfId="2797"/>
    <cellStyle name="Normal 10 4 2" xfId="2798"/>
    <cellStyle name="Normal 10 4_15% shr of costs" xfId="4508"/>
    <cellStyle name="Normal 10 5" xfId="2799"/>
    <cellStyle name="Normal 10 5 2" xfId="2800"/>
    <cellStyle name="Normal 10 5_15% shr of costs" xfId="4509"/>
    <cellStyle name="Normal 10 6" xfId="2801"/>
    <cellStyle name="Normal 10 7" xfId="2802"/>
    <cellStyle name="Normal 10 8" xfId="2803"/>
    <cellStyle name="Normal 10 9" xfId="3770"/>
    <cellStyle name="Normal 10_15% shr of costs" xfId="4503"/>
    <cellStyle name="Normal 11" xfId="2804"/>
    <cellStyle name="Normal 11 10" xfId="3774"/>
    <cellStyle name="Normal 11 10 2" xfId="3775"/>
    <cellStyle name="Normal 11 10 2 2" xfId="3776"/>
    <cellStyle name="Normal 11 10 2 2 2" xfId="3777"/>
    <cellStyle name="Normal 11 10 2 2_15% shr of costs" xfId="4512"/>
    <cellStyle name="Normal 11 10 2 3" xfId="3778"/>
    <cellStyle name="Normal 11 10 2 5" xfId="3779"/>
    <cellStyle name="Normal 11 10 2_15% shr of costs" xfId="4511"/>
    <cellStyle name="Normal 11 10_15% shr of costs" xfId="4510"/>
    <cellStyle name="Normal 11 11 2 2" xfId="3780"/>
    <cellStyle name="Normal 11 2" xfId="3781"/>
    <cellStyle name="Normal 11 2 7" xfId="3782"/>
    <cellStyle name="Normal 11 2_15% shr of costs" xfId="4513"/>
    <cellStyle name="Normal 11 4 2 2 4 2 2" xfId="3783"/>
    <cellStyle name="Normal 11 4 7" xfId="3784"/>
    <cellStyle name="Normal 11 4 7 2 2" xfId="3785"/>
    <cellStyle name="Normal 11 4 7 4" xfId="3786"/>
    <cellStyle name="Normal 11 4 7_15% shr of costs" xfId="4514"/>
    <cellStyle name="Normal 12" xfId="2805"/>
    <cellStyle name="Normal 12 2" xfId="2806"/>
    <cellStyle name="Normal 12 3" xfId="3787"/>
    <cellStyle name="Normal 13" xfId="2807"/>
    <cellStyle name="Normal 13 2" xfId="3788"/>
    <cellStyle name="Normal 14" xfId="2808"/>
    <cellStyle name="Normal 14 2" xfId="2809"/>
    <cellStyle name="Normal 14 2 2" xfId="2810"/>
    <cellStyle name="Normal 14 2 2 2" xfId="2811"/>
    <cellStyle name="Normal 14 2 2 3" xfId="2812"/>
    <cellStyle name="Normal 14 2 2 4" xfId="2813"/>
    <cellStyle name="Normal 14 2 2 5" xfId="2814"/>
    <cellStyle name="Normal 14 2 2 6" xfId="3790"/>
    <cellStyle name="Normal 14 2 2_15% shr of costs" xfId="4517"/>
    <cellStyle name="Normal 14 2 3" xfId="2815"/>
    <cellStyle name="Normal 14 2 4" xfId="2816"/>
    <cellStyle name="Normal 14 2 5" xfId="2817"/>
    <cellStyle name="Normal 14 2 6" xfId="2818"/>
    <cellStyle name="Normal 14 2 7" xfId="3789"/>
    <cellStyle name="Normal 14 2_15% shr of costs" xfId="4516"/>
    <cellStyle name="Normal 14 3" xfId="2819"/>
    <cellStyle name="Normal 14 3 2" xfId="2820"/>
    <cellStyle name="Normal 14 3 3" xfId="2821"/>
    <cellStyle name="Normal 14 3 4" xfId="2822"/>
    <cellStyle name="Normal 14 3 5" xfId="2823"/>
    <cellStyle name="Normal 14 3_15% shr of costs" xfId="4518"/>
    <cellStyle name="Normal 14 4" xfId="2824"/>
    <cellStyle name="Normal 14 5" xfId="2825"/>
    <cellStyle name="Normal 14 6" xfId="2826"/>
    <cellStyle name="Normal 14 7" xfId="2827"/>
    <cellStyle name="Normal 14_15% shr of costs" xfId="4515"/>
    <cellStyle name="Normal 15" xfId="2828"/>
    <cellStyle name="Normal 15 2" xfId="2829"/>
    <cellStyle name="Normal 15 2 2" xfId="2830"/>
    <cellStyle name="Normal 15 2 3" xfId="2831"/>
    <cellStyle name="Normal 15 2 4" xfId="2832"/>
    <cellStyle name="Normal 15 2_15% shr of costs" xfId="4520"/>
    <cellStyle name="Normal 15 3" xfId="2833"/>
    <cellStyle name="Normal 15 3 2" xfId="2834"/>
    <cellStyle name="Normal 15 3_15% shr of costs" xfId="4521"/>
    <cellStyle name="Normal 15 4" xfId="2835"/>
    <cellStyle name="Normal 15 4 2" xfId="2836"/>
    <cellStyle name="Normal 15 4_15% shr of costs" xfId="4522"/>
    <cellStyle name="Normal 15 5" xfId="2837"/>
    <cellStyle name="Normal 15 6" xfId="2838"/>
    <cellStyle name="Normal 15 7" xfId="2839"/>
    <cellStyle name="Normal 15_15% shr of costs" xfId="4519"/>
    <cellStyle name="Normal 16" xfId="2840"/>
    <cellStyle name="Normal 16 2" xfId="2841"/>
    <cellStyle name="Normal 16 2 2" xfId="2842"/>
    <cellStyle name="Normal 16 2 3" xfId="2843"/>
    <cellStyle name="Normal 16 2 4" xfId="2844"/>
    <cellStyle name="Normal 16 2_15% shr of costs" xfId="4524"/>
    <cellStyle name="Normal 16 3" xfId="2845"/>
    <cellStyle name="Normal 16 3 2" xfId="2846"/>
    <cellStyle name="Normal 16 3_15% shr of costs" xfId="4525"/>
    <cellStyle name="Normal 16 4" xfId="2847"/>
    <cellStyle name="Normal 16 4 2" xfId="2848"/>
    <cellStyle name="Normal 16 4_15% shr of costs" xfId="4526"/>
    <cellStyle name="Normal 16 5" xfId="2849"/>
    <cellStyle name="Normal 16 6" xfId="2850"/>
    <cellStyle name="Normal 16 7" xfId="2851"/>
    <cellStyle name="Normal 16_15% shr of costs" xfId="4523"/>
    <cellStyle name="Normal 17" xfId="2852"/>
    <cellStyle name="Normal 17 2" xfId="2853"/>
    <cellStyle name="Normal 17 2 2" xfId="2854"/>
    <cellStyle name="Normal 17 2 2 2" xfId="3793"/>
    <cellStyle name="Normal 17 2 2 3" xfId="3792"/>
    <cellStyle name="Normal 17 2 2_15% shr of costs" xfId="4529"/>
    <cellStyle name="Normal 17 2 3" xfId="2855"/>
    <cellStyle name="Normal 17 2 4" xfId="2856"/>
    <cellStyle name="Normal 17 2_15% shr of costs" xfId="4528"/>
    <cellStyle name="Normal 17 3" xfId="2857"/>
    <cellStyle name="Normal 17 3 2" xfId="2858"/>
    <cellStyle name="Normal 17 3 3" xfId="3794"/>
    <cellStyle name="Normal 17 3_15% shr of costs" xfId="4530"/>
    <cellStyle name="Normal 17 4" xfId="2859"/>
    <cellStyle name="Normal 17 4 2" xfId="2860"/>
    <cellStyle name="Normal 17 4_15% shr of costs" xfId="4531"/>
    <cellStyle name="Normal 17 5" xfId="2861"/>
    <cellStyle name="Normal 17 6" xfId="2862"/>
    <cellStyle name="Normal 17 7" xfId="2863"/>
    <cellStyle name="Normal 17 8" xfId="3791"/>
    <cellStyle name="Normal 17_15% shr of costs" xfId="4527"/>
    <cellStyle name="Normal 18" xfId="2864"/>
    <cellStyle name="Normal 18 2" xfId="2865"/>
    <cellStyle name="Normal 18 2 2" xfId="2866"/>
    <cellStyle name="Normal 18 2 2 2" xfId="3796"/>
    <cellStyle name="Normal 18 2 2_15% shr of costs" xfId="4534"/>
    <cellStyle name="Normal 18 2 3" xfId="2867"/>
    <cellStyle name="Normal 18 2 4" xfId="2868"/>
    <cellStyle name="Normal 18 2_15% shr of costs" xfId="4533"/>
    <cellStyle name="Normal 18 3" xfId="2869"/>
    <cellStyle name="Normal 18 3 2" xfId="2870"/>
    <cellStyle name="Normal 18 3 3" xfId="3797"/>
    <cellStyle name="Normal 18 3_15% shr of costs" xfId="4535"/>
    <cellStyle name="Normal 18 4" xfId="2871"/>
    <cellStyle name="Normal 18 4 2" xfId="2872"/>
    <cellStyle name="Normal 18 4 3" xfId="3798"/>
    <cellStyle name="Normal 18 4_15% shr of costs" xfId="4536"/>
    <cellStyle name="Normal 18 5" xfId="2873"/>
    <cellStyle name="Normal 18 6" xfId="2874"/>
    <cellStyle name="Normal 18 7" xfId="2875"/>
    <cellStyle name="Normal 18 8" xfId="3795"/>
    <cellStyle name="Normal 18_15% shr of costs" xfId="4532"/>
    <cellStyle name="Normal 19" xfId="2876"/>
    <cellStyle name="Normal 19 2" xfId="2877"/>
    <cellStyle name="Normal 19 3" xfId="3800"/>
    <cellStyle name="Normal 19 3 2" xfId="3801"/>
    <cellStyle name="Normal 19 3_15% shr of costs" xfId="4537"/>
    <cellStyle name="Normal 19 4" xfId="3799"/>
    <cellStyle name="Normal 2" xfId="6"/>
    <cellStyle name="Normal 2 10" xfId="2878"/>
    <cellStyle name="Normal 2 10 2" xfId="2879"/>
    <cellStyle name="Normal 2 10 2 2" xfId="2880"/>
    <cellStyle name="Normal 2 10 2 2 2" xfId="2881"/>
    <cellStyle name="Normal 2 10 2 2 3" xfId="2882"/>
    <cellStyle name="Normal 2 10 2 2 4" xfId="2883"/>
    <cellStyle name="Normal 2 10 2 2 5" xfId="2884"/>
    <cellStyle name="Normal 2 10 2 2_15% shr of costs" xfId="4540"/>
    <cellStyle name="Normal 2 10 2 3" xfId="2885"/>
    <cellStyle name="Normal 2 10 2 4" xfId="2886"/>
    <cellStyle name="Normal 2 10 2 5" xfId="2887"/>
    <cellStyle name="Normal 2 10 2 6" xfId="2888"/>
    <cellStyle name="Normal 2 10 2_15% shr of costs" xfId="4539"/>
    <cellStyle name="Normal 2 10 3" xfId="2889"/>
    <cellStyle name="Normal 2 10 3 2" xfId="2890"/>
    <cellStyle name="Normal 2 10 3 3" xfId="2891"/>
    <cellStyle name="Normal 2 10 3 4" xfId="2892"/>
    <cellStyle name="Normal 2 10 3 5" xfId="2893"/>
    <cellStyle name="Normal 2 10 3_15% shr of costs" xfId="4541"/>
    <cellStyle name="Normal 2 10 4" xfId="2894"/>
    <cellStyle name="Normal 2 10 5" xfId="2895"/>
    <cellStyle name="Normal 2 10 6" xfId="2896"/>
    <cellStyle name="Normal 2 10 7" xfId="2897"/>
    <cellStyle name="Normal 2 10_15% shr of costs" xfId="4538"/>
    <cellStyle name="Normal 2 11" xfId="2898"/>
    <cellStyle name="Normal 2 11 2" xfId="2899"/>
    <cellStyle name="Normal 2 11 2 2" xfId="2900"/>
    <cellStyle name="Normal 2 11 2 2 2" xfId="2901"/>
    <cellStyle name="Normal 2 11 2 2 3" xfId="2902"/>
    <cellStyle name="Normal 2 11 2 2 4" xfId="2903"/>
    <cellStyle name="Normal 2 11 2 2 5" xfId="2904"/>
    <cellStyle name="Normal 2 11 2 2_15% shr of costs" xfId="4544"/>
    <cellStyle name="Normal 2 11 2 3" xfId="2905"/>
    <cellStyle name="Normal 2 11 2 4" xfId="2906"/>
    <cellStyle name="Normal 2 11 2 5" xfId="2907"/>
    <cellStyle name="Normal 2 11 2 6" xfId="2908"/>
    <cellStyle name="Normal 2 11 2_15% shr of costs" xfId="4543"/>
    <cellStyle name="Normal 2 11 3" xfId="2909"/>
    <cellStyle name="Normal 2 11 3 2" xfId="2910"/>
    <cellStyle name="Normal 2 11 3 3" xfId="2911"/>
    <cellStyle name="Normal 2 11 3 4" xfId="2912"/>
    <cellStyle name="Normal 2 11 3 5" xfId="2913"/>
    <cellStyle name="Normal 2 11 3_15% shr of costs" xfId="4545"/>
    <cellStyle name="Normal 2 11 4" xfId="2914"/>
    <cellStyle name="Normal 2 11 5" xfId="2915"/>
    <cellStyle name="Normal 2 11 6" xfId="2916"/>
    <cellStyle name="Normal 2 11 7" xfId="2917"/>
    <cellStyle name="Normal 2 11_15% shr of costs" xfId="4542"/>
    <cellStyle name="Normal 2 12" xfId="2918"/>
    <cellStyle name="Normal 2 12 2" xfId="2919"/>
    <cellStyle name="Normal 2 12 2 2" xfId="2920"/>
    <cellStyle name="Normal 2 12 2 3" xfId="2921"/>
    <cellStyle name="Normal 2 12 2 4" xfId="2922"/>
    <cellStyle name="Normal 2 12 2 5" xfId="2923"/>
    <cellStyle name="Normal 2 12 2_15% shr of costs" xfId="4547"/>
    <cellStyle name="Normal 2 12 3" xfId="2924"/>
    <cellStyle name="Normal 2 12 4" xfId="2925"/>
    <cellStyle name="Normal 2 12 5" xfId="2926"/>
    <cellStyle name="Normal 2 12 6" xfId="2927"/>
    <cellStyle name="Normal 2 12_15% shr of costs" xfId="4546"/>
    <cellStyle name="Normal 2 13" xfId="2928"/>
    <cellStyle name="Normal 2 13 2" xfId="2929"/>
    <cellStyle name="Normal 2 13 3" xfId="2930"/>
    <cellStyle name="Normal 2 13 4" xfId="2931"/>
    <cellStyle name="Normal 2 13 5" xfId="2932"/>
    <cellStyle name="Normal 2 13_15% shr of costs" xfId="4548"/>
    <cellStyle name="Normal 2 14" xfId="2933"/>
    <cellStyle name="Normal 2 14 2" xfId="2934"/>
    <cellStyle name="Normal 2 14 3" xfId="2935"/>
    <cellStyle name="Normal 2 14 4" xfId="2936"/>
    <cellStyle name="Normal 2 14_15% shr of costs" xfId="4549"/>
    <cellStyle name="Normal 2 15" xfId="2937"/>
    <cellStyle name="Normal 2 16" xfId="3802"/>
    <cellStyle name="Normal 2 17" xfId="3840"/>
    <cellStyle name="Normal 2 18" xfId="3845"/>
    <cellStyle name="Normal 2 19 2 2" xfId="3803"/>
    <cellStyle name="Normal 2 2" xfId="2938"/>
    <cellStyle name="Normal 2 2 17" xfId="3804"/>
    <cellStyle name="Normal 2 2 2" xfId="2939"/>
    <cellStyle name="Normal 2 2 2 2" xfId="2940"/>
    <cellStyle name="Normal 2 2 2 2 2" xfId="2941"/>
    <cellStyle name="Normal 2 2 2 2 2 2" xfId="2942"/>
    <cellStyle name="Normal 2 2 2 2 2 2 2" xfId="2943"/>
    <cellStyle name="Normal 2 2 2 2 2 2 3" xfId="2944"/>
    <cellStyle name="Normal 2 2 2 2 2 2 4" xfId="2945"/>
    <cellStyle name="Normal 2 2 2 2 2 2_15% shr of costs" xfId="4551"/>
    <cellStyle name="Normal 2 2 2 2 2 3" xfId="2946"/>
    <cellStyle name="Normal 2 2 2 2 2 3 2" xfId="2947"/>
    <cellStyle name="Normal 2 2 2 2 2 3_15% shr of costs" xfId="4552"/>
    <cellStyle name="Normal 2 2 2 2 2 4" xfId="2948"/>
    <cellStyle name="Normal 2 2 2 2 2 4 2" xfId="2949"/>
    <cellStyle name="Normal 2 2 2 2 2 4_15% shr of costs" xfId="4553"/>
    <cellStyle name="Normal 2 2 2 2 2 5" xfId="2950"/>
    <cellStyle name="Normal 2 2 2 2 2 6" xfId="2951"/>
    <cellStyle name="Normal 2 2 2 2 2 7" xfId="2952"/>
    <cellStyle name="Normal 2 2 2 2 2_15% shr of costs" xfId="4550"/>
    <cellStyle name="Normal 2 2 2 2 3" xfId="2953"/>
    <cellStyle name="Normal 2 2 2 2 3 2" xfId="2954"/>
    <cellStyle name="Normal 2 2 2 2 3 3" xfId="2955"/>
    <cellStyle name="Normal 2 2 2 2 3 4" xfId="2956"/>
    <cellStyle name="Normal 2 2 2 2 3_15% shr of costs" xfId="4554"/>
    <cellStyle name="Normal 2 2 2 2 4" xfId="2957"/>
    <cellStyle name="Normal 2 2 2 2 4 2" xfId="2958"/>
    <cellStyle name="Normal 2 2 2 2 4_15% shr of costs" xfId="4555"/>
    <cellStyle name="Normal 2 2 2 2 5" xfId="2959"/>
    <cellStyle name="Normal 2 2 2 2 5 2" xfId="2960"/>
    <cellStyle name="Normal 2 2 2 2 5_15% shr of costs" xfId="4556"/>
    <cellStyle name="Normal 2 2 2 2 6" xfId="2961"/>
    <cellStyle name="Normal 2 2 2 2 7" xfId="2962"/>
    <cellStyle name="Normal 2 2 2 2 8" xfId="2963"/>
    <cellStyle name="Normal 2 2 3" xfId="2964"/>
    <cellStyle name="Normal 2 2 3 2" xfId="2965"/>
    <cellStyle name="Normal 2 2 3 2 2" xfId="2966"/>
    <cellStyle name="Normal 2 2 3 2 2 2" xfId="2967"/>
    <cellStyle name="Normal 2 2 3 2 2 3" xfId="2968"/>
    <cellStyle name="Normal 2 2 3 2 2 4" xfId="2969"/>
    <cellStyle name="Normal 2 2 3 2 2_15% shr of costs" xfId="4559"/>
    <cellStyle name="Normal 2 2 3 2 3" xfId="2970"/>
    <cellStyle name="Normal 2 2 3 2 3 2" xfId="2971"/>
    <cellStyle name="Normal 2 2 3 2 3_15% shr of costs" xfId="4560"/>
    <cellStyle name="Normal 2 2 3 2 4" xfId="2972"/>
    <cellStyle name="Normal 2 2 3 2 4 2" xfId="2973"/>
    <cellStyle name="Normal 2 2 3 2 4_15% shr of costs" xfId="4561"/>
    <cellStyle name="Normal 2 2 3 2 5" xfId="2974"/>
    <cellStyle name="Normal 2 2 3 2 6" xfId="2975"/>
    <cellStyle name="Normal 2 2 3 2 7" xfId="2976"/>
    <cellStyle name="Normal 2 2 3 2_15% shr of costs" xfId="4558"/>
    <cellStyle name="Normal 2 2 3 3" xfId="2977"/>
    <cellStyle name="Normal 2 2 3 3 2" xfId="2978"/>
    <cellStyle name="Normal 2 2 3 3 3" xfId="2979"/>
    <cellStyle name="Normal 2 2 3 3 4" xfId="2980"/>
    <cellStyle name="Normal 2 2 3 3_15% shr of costs" xfId="4562"/>
    <cellStyle name="Normal 2 2 3 4" xfId="2981"/>
    <cellStyle name="Normal 2 2 3 4 2" xfId="2982"/>
    <cellStyle name="Normal 2 2 3 4_15% shr of costs" xfId="4563"/>
    <cellStyle name="Normal 2 2 3 5" xfId="2983"/>
    <cellStyle name="Normal 2 2 3 5 2" xfId="2984"/>
    <cellStyle name="Normal 2 2 3 5_15% shr of costs" xfId="4564"/>
    <cellStyle name="Normal 2 2 3 6" xfId="2985"/>
    <cellStyle name="Normal 2 2 3 7" xfId="2986"/>
    <cellStyle name="Normal 2 2 3 8" xfId="2987"/>
    <cellStyle name="Normal 2 2 3_15% shr of costs" xfId="4557"/>
    <cellStyle name="Normal 2 2 4" xfId="2988"/>
    <cellStyle name="Normal 2 2 4 2" xfId="2989"/>
    <cellStyle name="Normal 2 2 4 3" xfId="2990"/>
    <cellStyle name="Normal 2 2 4 4" xfId="2991"/>
    <cellStyle name="Normal 2 2 4_15% shr of costs" xfId="4565"/>
    <cellStyle name="Normal 2 2 5" xfId="2992"/>
    <cellStyle name="Normal 2 2 5 2" xfId="2993"/>
    <cellStyle name="Normal 2 2 5 3" xfId="2994"/>
    <cellStyle name="Normal 2 2 5 4" xfId="2995"/>
    <cellStyle name="Normal 2 2 5_15% shr of costs" xfId="4566"/>
    <cellStyle name="Normal 2 2 6" xfId="2996"/>
    <cellStyle name="Normal 2 2 6 2" xfId="2997"/>
    <cellStyle name="Normal 2 2 6 3" xfId="2998"/>
    <cellStyle name="Normal 2 2 6_15% shr of costs" xfId="4567"/>
    <cellStyle name="Normal 2 3" xfId="2999"/>
    <cellStyle name="Normal 2 3 2" xfId="3000"/>
    <cellStyle name="Normal 2 3 2 2" xfId="3805"/>
    <cellStyle name="Normal 2 3 3" xfId="3001"/>
    <cellStyle name="Normal 2 3 3 2" xfId="3806"/>
    <cellStyle name="Normal 2 3 3_15% shr of costs" xfId="4569"/>
    <cellStyle name="Normal 2 3_15% shr of costs" xfId="4568"/>
    <cellStyle name="Normal 2 4" xfId="3002"/>
    <cellStyle name="Normal 2 4 2" xfId="3003"/>
    <cellStyle name="Normal 2 5" xfId="3004"/>
    <cellStyle name="Normal 2 5 2" xfId="3005"/>
    <cellStyle name="Normal 2 5 2 2" xfId="3006"/>
    <cellStyle name="Normal 2 5 2 3" xfId="3007"/>
    <cellStyle name="Normal 2 5 2 4" xfId="3008"/>
    <cellStyle name="Normal 2 5 3" xfId="3009"/>
    <cellStyle name="Normal 2 5 3 2" xfId="3010"/>
    <cellStyle name="Normal 2 5 3_15% shr of costs" xfId="4570"/>
    <cellStyle name="Normal 2 5 4" xfId="3011"/>
    <cellStyle name="Normal 2 5 4 2" xfId="3012"/>
    <cellStyle name="Normal 2 5 4_15% shr of costs" xfId="4571"/>
    <cellStyle name="Normal 2 5 5" xfId="3013"/>
    <cellStyle name="Normal 2 5 6" xfId="3014"/>
    <cellStyle name="Normal 2 5 7" xfId="3015"/>
    <cellStyle name="Normal 2 6" xfId="3016"/>
    <cellStyle name="Normal 2 6 2" xfId="3017"/>
    <cellStyle name="Normal 2 6 2 2" xfId="3018"/>
    <cellStyle name="Normal 2 6 2 2 2" xfId="3019"/>
    <cellStyle name="Normal 2 6 2 2 3" xfId="3020"/>
    <cellStyle name="Normal 2 6 2 2 4" xfId="3021"/>
    <cellStyle name="Normal 2 6 2 2 5" xfId="3022"/>
    <cellStyle name="Normal 2 6 2 2_15% shr of costs" xfId="4574"/>
    <cellStyle name="Normal 2 6 2 3" xfId="3023"/>
    <cellStyle name="Normal 2 6 2 4" xfId="3024"/>
    <cellStyle name="Normal 2 6 2 5" xfId="3025"/>
    <cellStyle name="Normal 2 6 2 6" xfId="3026"/>
    <cellStyle name="Normal 2 6 2_15% shr of costs" xfId="4573"/>
    <cellStyle name="Normal 2 6 3" xfId="3027"/>
    <cellStyle name="Normal 2 6 3 2" xfId="3028"/>
    <cellStyle name="Normal 2 6 3 3" xfId="3029"/>
    <cellStyle name="Normal 2 6 3 4" xfId="3030"/>
    <cellStyle name="Normal 2 6 3 5" xfId="3031"/>
    <cellStyle name="Normal 2 6 3_15% shr of costs" xfId="4575"/>
    <cellStyle name="Normal 2 6 4" xfId="3032"/>
    <cellStyle name="Normal 2 6 5" xfId="3033"/>
    <cellStyle name="Normal 2 6 6" xfId="3034"/>
    <cellStyle name="Normal 2 6 7" xfId="3035"/>
    <cellStyle name="Normal 2 6_15% shr of costs" xfId="4572"/>
    <cellStyle name="Normal 2 7" xfId="3036"/>
    <cellStyle name="Normal 2 7 2" xfId="3037"/>
    <cellStyle name="Normal 2 7 2 2" xfId="3038"/>
    <cellStyle name="Normal 2 7 2 2 2" xfId="3039"/>
    <cellStyle name="Normal 2 7 2 2 3" xfId="3040"/>
    <cellStyle name="Normal 2 7 2 2 4" xfId="3041"/>
    <cellStyle name="Normal 2 7 2 2 5" xfId="3042"/>
    <cellStyle name="Normal 2 7 2 2_15% shr of costs" xfId="4578"/>
    <cellStyle name="Normal 2 7 2 3" xfId="3043"/>
    <cellStyle name="Normal 2 7 2 4" xfId="3044"/>
    <cellStyle name="Normal 2 7 2 5" xfId="3045"/>
    <cellStyle name="Normal 2 7 2 6" xfId="3046"/>
    <cellStyle name="Normal 2 7 2_15% shr of costs" xfId="4577"/>
    <cellStyle name="Normal 2 7 3" xfId="3047"/>
    <cellStyle name="Normal 2 7 3 2" xfId="3048"/>
    <cellStyle name="Normal 2 7 3 3" xfId="3049"/>
    <cellStyle name="Normal 2 7 3 4" xfId="3050"/>
    <cellStyle name="Normal 2 7 3 5" xfId="3051"/>
    <cellStyle name="Normal 2 7 3_15% shr of costs" xfId="4579"/>
    <cellStyle name="Normal 2 7 4" xfId="3052"/>
    <cellStyle name="Normal 2 7 5" xfId="3053"/>
    <cellStyle name="Normal 2 7 6" xfId="3054"/>
    <cellStyle name="Normal 2 7 7" xfId="3055"/>
    <cellStyle name="Normal 2 7_15% shr of costs" xfId="4576"/>
    <cellStyle name="Normal 2 8" xfId="3056"/>
    <cellStyle name="Normal 2 8 2" xfId="3057"/>
    <cellStyle name="Normal 2 8 2 2" xfId="3058"/>
    <cellStyle name="Normal 2 8 2 2 2" xfId="3059"/>
    <cellStyle name="Normal 2 8 2 2 3" xfId="3060"/>
    <cellStyle name="Normal 2 8 2 2 4" xfId="3061"/>
    <cellStyle name="Normal 2 8 2 2 5" xfId="3062"/>
    <cellStyle name="Normal 2 8 2 2_15% shr of costs" xfId="4582"/>
    <cellStyle name="Normal 2 8 2 3" xfId="3063"/>
    <cellStyle name="Normal 2 8 2 4" xfId="3064"/>
    <cellStyle name="Normal 2 8 2 5" xfId="3065"/>
    <cellStyle name="Normal 2 8 2 6" xfId="3066"/>
    <cellStyle name="Normal 2 8 2_15% shr of costs" xfId="4581"/>
    <cellStyle name="Normal 2 8 3" xfId="3067"/>
    <cellStyle name="Normal 2 8 3 2" xfId="3068"/>
    <cellStyle name="Normal 2 8 3 3" xfId="3069"/>
    <cellStyle name="Normal 2 8 3 4" xfId="3070"/>
    <cellStyle name="Normal 2 8 3 5" xfId="3071"/>
    <cellStyle name="Normal 2 8 3_15% shr of costs" xfId="4583"/>
    <cellStyle name="Normal 2 8 4" xfId="3072"/>
    <cellStyle name="Normal 2 8 5" xfId="3073"/>
    <cellStyle name="Normal 2 8 6" xfId="3074"/>
    <cellStyle name="Normal 2 8 7" xfId="3075"/>
    <cellStyle name="Normal 2 8_15% shr of costs" xfId="4580"/>
    <cellStyle name="Normal 2 9" xfId="3076"/>
    <cellStyle name="Normal 2 9 2" xfId="3077"/>
    <cellStyle name="Normal 2 9 2 2" xfId="3078"/>
    <cellStyle name="Normal 2 9 2 2 2" xfId="3079"/>
    <cellStyle name="Normal 2 9 2 2 3" xfId="3080"/>
    <cellStyle name="Normal 2 9 2 2 4" xfId="3081"/>
    <cellStyle name="Normal 2 9 2 2 5" xfId="3082"/>
    <cellStyle name="Normal 2 9 2 2_15% shr of costs" xfId="4586"/>
    <cellStyle name="Normal 2 9 2 3" xfId="3083"/>
    <cellStyle name="Normal 2 9 2 4" xfId="3084"/>
    <cellStyle name="Normal 2 9 2 5" xfId="3085"/>
    <cellStyle name="Normal 2 9 2 6" xfId="3086"/>
    <cellStyle name="Normal 2 9 2_15% shr of costs" xfId="4585"/>
    <cellStyle name="Normal 2 9 3" xfId="3087"/>
    <cellStyle name="Normal 2 9 3 2" xfId="3088"/>
    <cellStyle name="Normal 2 9 3 3" xfId="3089"/>
    <cellStyle name="Normal 2 9 3 4" xfId="3090"/>
    <cellStyle name="Normal 2 9 3 5" xfId="3091"/>
    <cellStyle name="Normal 2 9 3_15% shr of costs" xfId="4587"/>
    <cellStyle name="Normal 2 9 4" xfId="3092"/>
    <cellStyle name="Normal 2 9 5" xfId="3093"/>
    <cellStyle name="Normal 2 9 6" xfId="3094"/>
    <cellStyle name="Normal 2 9 7" xfId="3095"/>
    <cellStyle name="Normal 2 9_15% shr of costs" xfId="4584"/>
    <cellStyle name="Normal 20" xfId="3096"/>
    <cellStyle name="Normal 20 2" xfId="3097"/>
    <cellStyle name="Normal 20 3" xfId="3098"/>
    <cellStyle name="Normal 20 4" xfId="3099"/>
    <cellStyle name="Normal 20_15% shr of costs" xfId="4588"/>
    <cellStyle name="Normal 21" xfId="3100"/>
    <cellStyle name="Normal 21 2" xfId="3101"/>
    <cellStyle name="Normal 21 3" xfId="3102"/>
    <cellStyle name="Normal 21_15% shr of costs" xfId="4589"/>
    <cellStyle name="Normal 22" xfId="3103"/>
    <cellStyle name="Normal 22 2" xfId="3104"/>
    <cellStyle name="Normal 22 3" xfId="3105"/>
    <cellStyle name="Normal 22_15% shr of costs" xfId="4590"/>
    <cellStyle name="Normal 23" xfId="3106"/>
    <cellStyle name="Normal 23 2" xfId="3107"/>
    <cellStyle name="Normal 23_15% shr of costs" xfId="4591"/>
    <cellStyle name="Normal 24" xfId="3108"/>
    <cellStyle name="Normal 24 2" xfId="3109"/>
    <cellStyle name="Normal 24_15% shr of costs" xfId="4592"/>
    <cellStyle name="Normal 25" xfId="3110"/>
    <cellStyle name="Normal 25 2" xfId="3807"/>
    <cellStyle name="Normal 26" xfId="3111"/>
    <cellStyle name="Normal 27" xfId="3112"/>
    <cellStyle name="Normal 28" xfId="3113"/>
    <cellStyle name="Normal 29" xfId="3761"/>
    <cellStyle name="Normal 3" xfId="9"/>
    <cellStyle name="Normal 3 10" xfId="3115"/>
    <cellStyle name="Normal 3 11" xfId="3116"/>
    <cellStyle name="Normal 3 12" xfId="3117"/>
    <cellStyle name="Normal 3 13" xfId="3114"/>
    <cellStyle name="Normal 3 2" xfId="3118"/>
    <cellStyle name="Normal 3 2 10" xfId="3119"/>
    <cellStyle name="Normal 3 2 11" xfId="3808"/>
    <cellStyle name="Normal 3 2 2" xfId="3120"/>
    <cellStyle name="Normal 3 2 2 2" xfId="3121"/>
    <cellStyle name="Normal 3 2 2 2 2" xfId="3122"/>
    <cellStyle name="Normal 3 2 2 2 2 2" xfId="3123"/>
    <cellStyle name="Normal 3 2 2 2 2 3" xfId="3124"/>
    <cellStyle name="Normal 3 2 2 2 2 4" xfId="3125"/>
    <cellStyle name="Normal 3 2 2 2 3" xfId="3126"/>
    <cellStyle name="Normal 3 2 2 2 3 2" xfId="3127"/>
    <cellStyle name="Normal 3 2 2 2 3_15% shr of costs" xfId="4594"/>
    <cellStyle name="Normal 3 2 2 2 4" xfId="3128"/>
    <cellStyle name="Normal 3 2 2 2 4 2" xfId="3129"/>
    <cellStyle name="Normal 3 2 2 2 4_15% shr of costs" xfId="4595"/>
    <cellStyle name="Normal 3 2 2 2 5" xfId="3130"/>
    <cellStyle name="Normal 3 2 2 2 6" xfId="3131"/>
    <cellStyle name="Normal 3 2 2 2 7" xfId="3132"/>
    <cellStyle name="Normal 3 2 2 3" xfId="3133"/>
    <cellStyle name="Normal 3 2 2 3 2" xfId="3134"/>
    <cellStyle name="Normal 3 2 2 3 3" xfId="3135"/>
    <cellStyle name="Normal 3 2 2 3 4" xfId="3136"/>
    <cellStyle name="Normal 3 2 2 4" xfId="3137"/>
    <cellStyle name="Normal 3 2 2 4 2" xfId="3138"/>
    <cellStyle name="Normal 3 2 2 4_15% shr of costs" xfId="4596"/>
    <cellStyle name="Normal 3 2 2 5" xfId="3139"/>
    <cellStyle name="Normal 3 2 2 5 2" xfId="3140"/>
    <cellStyle name="Normal 3 2 2 5_15% shr of costs" xfId="4597"/>
    <cellStyle name="Normal 3 2 2 6" xfId="3141"/>
    <cellStyle name="Normal 3 2 2 7" xfId="3142"/>
    <cellStyle name="Normal 3 2 2 8" xfId="3143"/>
    <cellStyle name="Normal 3 2 3" xfId="3144"/>
    <cellStyle name="Normal 3 2 3 2" xfId="3145"/>
    <cellStyle name="Normal 3 2 3 2 2" xfId="3146"/>
    <cellStyle name="Normal 3 2 3 2 2 2" xfId="3147"/>
    <cellStyle name="Normal 3 2 3 2 2 3" xfId="3148"/>
    <cellStyle name="Normal 3 2 3 2 2 4" xfId="3149"/>
    <cellStyle name="Normal 3 2 3 2 2_15% shr of costs" xfId="4599"/>
    <cellStyle name="Normal 3 2 3 2 3" xfId="3150"/>
    <cellStyle name="Normal 3 2 3 2 3 2" xfId="3151"/>
    <cellStyle name="Normal 3 2 3 2 3_15% shr of costs" xfId="4600"/>
    <cellStyle name="Normal 3 2 3 2 4" xfId="3152"/>
    <cellStyle name="Normal 3 2 3 2 4 2" xfId="3153"/>
    <cellStyle name="Normal 3 2 3 2 4_15% shr of costs" xfId="4601"/>
    <cellStyle name="Normal 3 2 3 2 5" xfId="3154"/>
    <cellStyle name="Normal 3 2 3 2 6" xfId="3155"/>
    <cellStyle name="Normal 3 2 3 2 7" xfId="3156"/>
    <cellStyle name="Normal 3 2 3 2_15% shr of costs" xfId="4598"/>
    <cellStyle name="Normal 3 2 3 3" xfId="3157"/>
    <cellStyle name="Normal 3 2 3 3 2" xfId="3158"/>
    <cellStyle name="Normal 3 2 3 3 3" xfId="3159"/>
    <cellStyle name="Normal 3 2 3 3 4" xfId="3160"/>
    <cellStyle name="Normal 3 2 3 3_15% shr of costs" xfId="4602"/>
    <cellStyle name="Normal 3 2 3 4" xfId="3161"/>
    <cellStyle name="Normal 3 2 3 4 2" xfId="3162"/>
    <cellStyle name="Normal 3 2 3 4_15% shr of costs" xfId="4603"/>
    <cellStyle name="Normal 3 2 3 5" xfId="3163"/>
    <cellStyle name="Normal 3 2 3 5 2" xfId="3164"/>
    <cellStyle name="Normal 3 2 3 5_15% shr of costs" xfId="4604"/>
    <cellStyle name="Normal 3 2 3 6" xfId="3165"/>
    <cellStyle name="Normal 3 2 3 7" xfId="3166"/>
    <cellStyle name="Normal 3 2 3 8" xfId="3167"/>
    <cellStyle name="Normal 3 2 3 9" xfId="3809"/>
    <cellStyle name="Normal 3 2 4" xfId="3168"/>
    <cellStyle name="Normal 3 2 4 2" xfId="3169"/>
    <cellStyle name="Normal 3 2 4 2 2" xfId="3170"/>
    <cellStyle name="Normal 3 2 4 2 3" xfId="3171"/>
    <cellStyle name="Normal 3 2 4 2 4" xfId="3172"/>
    <cellStyle name="Normal 3 2 4 3" xfId="3173"/>
    <cellStyle name="Normal 3 2 4 3 2" xfId="3174"/>
    <cellStyle name="Normal 3 2 4 3_15% shr of costs" xfId="4605"/>
    <cellStyle name="Normal 3 2 4 4" xfId="3175"/>
    <cellStyle name="Normal 3 2 4 4 2" xfId="3176"/>
    <cellStyle name="Normal 3 2 4 4_15% shr of costs" xfId="4606"/>
    <cellStyle name="Normal 3 2 4 5" xfId="3177"/>
    <cellStyle name="Normal 3 2 4 6" xfId="3178"/>
    <cellStyle name="Normal 3 2 4 7" xfId="3179"/>
    <cellStyle name="Normal 3 2 5" xfId="3180"/>
    <cellStyle name="Normal 3 2 5 2" xfId="3181"/>
    <cellStyle name="Normal 3 2 5 3" xfId="3182"/>
    <cellStyle name="Normal 3 2 5 4" xfId="3183"/>
    <cellStyle name="Normal 3 2 5_15% shr of costs" xfId="4607"/>
    <cellStyle name="Normal 3 2 6" xfId="3184"/>
    <cellStyle name="Normal 3 2 6 2" xfId="3185"/>
    <cellStyle name="Normal 3 2 6_15% shr of costs" xfId="4608"/>
    <cellStyle name="Normal 3 2 7" xfId="3186"/>
    <cellStyle name="Normal 3 2 7 2" xfId="3187"/>
    <cellStyle name="Normal 3 2 7_15% shr of costs" xfId="4609"/>
    <cellStyle name="Normal 3 2 8" xfId="3188"/>
    <cellStyle name="Normal 3 2 9" xfId="3189"/>
    <cellStyle name="Normal 3 3" xfId="3190"/>
    <cellStyle name="Normal 3 3 2" xfId="3191"/>
    <cellStyle name="Normal 3 3 2 2" xfId="3192"/>
    <cellStyle name="Normal 3 3 2 2 2" xfId="3193"/>
    <cellStyle name="Normal 3 3 2 2 3" xfId="3194"/>
    <cellStyle name="Normal 3 3 2 2 4" xfId="3195"/>
    <cellStyle name="Normal 3 3 2 2 5" xfId="3196"/>
    <cellStyle name="Normal 3 3 2 2_15% shr of costs" xfId="4612"/>
    <cellStyle name="Normal 3 3 2 3" xfId="3197"/>
    <cellStyle name="Normal 3 3 2 3 2" xfId="3198"/>
    <cellStyle name="Normal 3 3 2 3_15% shr of costs" xfId="4613"/>
    <cellStyle name="Normal 3 3 2 4" xfId="3199"/>
    <cellStyle name="Normal 3 3 2 4 2" xfId="3200"/>
    <cellStyle name="Normal 3 3 2 4_15% shr of costs" xfId="4614"/>
    <cellStyle name="Normal 3 3 2 5" xfId="3201"/>
    <cellStyle name="Normal 3 3 2 6" xfId="3202"/>
    <cellStyle name="Normal 3 3 2 7" xfId="3203"/>
    <cellStyle name="Normal 3 3 2_15% shr of costs" xfId="4611"/>
    <cellStyle name="Normal 3 3 3" xfId="3204"/>
    <cellStyle name="Normal 3 3 3 2" xfId="3205"/>
    <cellStyle name="Normal 3 3 3 3" xfId="3206"/>
    <cellStyle name="Normal 3 3 3 4" xfId="3207"/>
    <cellStyle name="Normal 3 3 3 5" xfId="3208"/>
    <cellStyle name="Normal 3 3 3_15% shr of costs" xfId="4615"/>
    <cellStyle name="Normal 3 3 4" xfId="3209"/>
    <cellStyle name="Normal 3 3 4 2" xfId="3210"/>
    <cellStyle name="Normal 3 3 4_15% shr of costs" xfId="4616"/>
    <cellStyle name="Normal 3 3 5" xfId="3211"/>
    <cellStyle name="Normal 3 3 5 2" xfId="3212"/>
    <cellStyle name="Normal 3 3 5_15% shr of costs" xfId="4617"/>
    <cellStyle name="Normal 3 3 6" xfId="3213"/>
    <cellStyle name="Normal 3 3 7" xfId="3214"/>
    <cellStyle name="Normal 3 3 8" xfId="3215"/>
    <cellStyle name="Normal 3 3_15% shr of costs" xfId="4610"/>
    <cellStyle name="Normal 3 4" xfId="3216"/>
    <cellStyle name="Normal 3 4 2" xfId="3217"/>
    <cellStyle name="Normal 3 4 2 2" xfId="3218"/>
    <cellStyle name="Normal 3 4 2 2 2" xfId="3219"/>
    <cellStyle name="Normal 3 4 2 2 3" xfId="3220"/>
    <cellStyle name="Normal 3 4 2 2 4" xfId="3221"/>
    <cellStyle name="Normal 3 4 2 2 5" xfId="3222"/>
    <cellStyle name="Normal 3 4 2 2_15% shr of costs" xfId="4620"/>
    <cellStyle name="Normal 3 4 2 3" xfId="3223"/>
    <cellStyle name="Normal 3 4 2 3 2" xfId="3224"/>
    <cellStyle name="Normal 3 4 2 3_15% shr of costs" xfId="4621"/>
    <cellStyle name="Normal 3 4 2 4" xfId="3225"/>
    <cellStyle name="Normal 3 4 2 4 2" xfId="3226"/>
    <cellStyle name="Normal 3 4 2 4_15% shr of costs" xfId="4622"/>
    <cellStyle name="Normal 3 4 2 5" xfId="3227"/>
    <cellStyle name="Normal 3 4 2 6" xfId="3228"/>
    <cellStyle name="Normal 3 4 2 7" xfId="3229"/>
    <cellStyle name="Normal 3 4 2_15% shr of costs" xfId="4619"/>
    <cellStyle name="Normal 3 4 3" xfId="3230"/>
    <cellStyle name="Normal 3 4 3 2" xfId="3231"/>
    <cellStyle name="Normal 3 4 3 3" xfId="3232"/>
    <cellStyle name="Normal 3 4 3 4" xfId="3233"/>
    <cellStyle name="Normal 3 4 3 5" xfId="3234"/>
    <cellStyle name="Normal 3 4 3_15% shr of costs" xfId="4623"/>
    <cellStyle name="Normal 3 4 4" xfId="3235"/>
    <cellStyle name="Normal 3 4 4 2" xfId="3236"/>
    <cellStyle name="Normal 3 4 4_15% shr of costs" xfId="4624"/>
    <cellStyle name="Normal 3 4 5" xfId="3237"/>
    <cellStyle name="Normal 3 4 5 2" xfId="3238"/>
    <cellStyle name="Normal 3 4 5_15% shr of costs" xfId="4625"/>
    <cellStyle name="Normal 3 4 6" xfId="3239"/>
    <cellStyle name="Normal 3 4 7" xfId="3240"/>
    <cellStyle name="Normal 3 4 8" xfId="3241"/>
    <cellStyle name="Normal 3 4_15% shr of costs" xfId="4618"/>
    <cellStyle name="Normal 3 5" xfId="3242"/>
    <cellStyle name="Normal 3 5 2" xfId="3243"/>
    <cellStyle name="Normal 3 5 2 2" xfId="3244"/>
    <cellStyle name="Normal 3 5 2 3" xfId="3245"/>
    <cellStyle name="Normal 3 5 2 4" xfId="3246"/>
    <cellStyle name="Normal 3 5 2_15% shr of costs" xfId="4626"/>
    <cellStyle name="Normal 3 5 3" xfId="3247"/>
    <cellStyle name="Normal 3 5 3 2" xfId="3248"/>
    <cellStyle name="Normal 3 5 3_15% shr of costs" xfId="4627"/>
    <cellStyle name="Normal 3 5 4" xfId="3249"/>
    <cellStyle name="Normal 3 5 4 2" xfId="3250"/>
    <cellStyle name="Normal 3 5 4_15% shr of costs" xfId="4628"/>
    <cellStyle name="Normal 3 5 5" xfId="3251"/>
    <cellStyle name="Normal 3 5 6" xfId="3252"/>
    <cellStyle name="Normal 3 5 7" xfId="3253"/>
    <cellStyle name="Normal 3 6" xfId="3254"/>
    <cellStyle name="Normal 3 6 2" xfId="3255"/>
    <cellStyle name="Normal 3 6 3" xfId="3256"/>
    <cellStyle name="Normal 3 6 4" xfId="3257"/>
    <cellStyle name="Normal 3 7" xfId="3258"/>
    <cellStyle name="Normal 3 7 2" xfId="3259"/>
    <cellStyle name="Normal 3 7_15% shr of costs" xfId="4629"/>
    <cellStyle name="Normal 3 8" xfId="3260"/>
    <cellStyle name="Normal 3 8 2" xfId="3261"/>
    <cellStyle name="Normal 3 8_15% shr of costs" xfId="4630"/>
    <cellStyle name="Normal 3 9" xfId="3262"/>
    <cellStyle name="Normal 3_15% shr of costs" xfId="4593"/>
    <cellStyle name="Normal 30" xfId="3762"/>
    <cellStyle name="Normal 4" xfId="8"/>
    <cellStyle name="Normal 4 10" xfId="3264"/>
    <cellStyle name="Normal 4 10 2" xfId="3265"/>
    <cellStyle name="Normal 4 10 2 2" xfId="3266"/>
    <cellStyle name="Normal 4 10 2 3" xfId="3267"/>
    <cellStyle name="Normal 4 10 2 4" xfId="3268"/>
    <cellStyle name="Normal 4 10 2 5" xfId="3269"/>
    <cellStyle name="Normal 4 10 2_15% shr of costs" xfId="4633"/>
    <cellStyle name="Normal 4 10 3" xfId="3270"/>
    <cellStyle name="Normal 4 10 4" xfId="3271"/>
    <cellStyle name="Normal 4 10 5" xfId="3272"/>
    <cellStyle name="Normal 4 10 6" xfId="3273"/>
    <cellStyle name="Normal 4 10_15% shr of costs" xfId="4632"/>
    <cellStyle name="Normal 4 11" xfId="3274"/>
    <cellStyle name="Normal 4 11 2" xfId="3275"/>
    <cellStyle name="Normal 4 11 3" xfId="3276"/>
    <cellStyle name="Normal 4 11 4" xfId="3277"/>
    <cellStyle name="Normal 4 11 5" xfId="3278"/>
    <cellStyle name="Normal 4 11_15% shr of costs" xfId="4634"/>
    <cellStyle name="Normal 4 12" xfId="3279"/>
    <cellStyle name="Normal 4 12 2" xfId="3280"/>
    <cellStyle name="Normal 4 12 3" xfId="3281"/>
    <cellStyle name="Normal 4 12 4" xfId="3282"/>
    <cellStyle name="Normal 4 12_15% shr of costs" xfId="4635"/>
    <cellStyle name="Normal 4 13" xfId="3283"/>
    <cellStyle name="Normal 4 13 2" xfId="3284"/>
    <cellStyle name="Normal 4 13 3" xfId="3285"/>
    <cellStyle name="Normal 4 13 4" xfId="3286"/>
    <cellStyle name="Normal 4 13_15% shr of costs" xfId="4636"/>
    <cellStyle name="Normal 4 14" xfId="3287"/>
    <cellStyle name="Normal 4 14 2" xfId="3288"/>
    <cellStyle name="Normal 4 14 3" xfId="3289"/>
    <cellStyle name="Normal 4 14 4" xfId="3290"/>
    <cellStyle name="Normal 4 14_15% shr of costs" xfId="4637"/>
    <cellStyle name="Normal 4 15" xfId="3291"/>
    <cellStyle name="Normal 4 15 2" xfId="3292"/>
    <cellStyle name="Normal 4 15 3" xfId="3293"/>
    <cellStyle name="Normal 4 15 4" xfId="3294"/>
    <cellStyle name="Normal 4 16" xfId="3295"/>
    <cellStyle name="Normal 4 17" xfId="3263"/>
    <cellStyle name="Normal 4 2" xfId="3296"/>
    <cellStyle name="Normal 4 2 2" xfId="3297"/>
    <cellStyle name="Normal 4 2 3" xfId="3810"/>
    <cellStyle name="Normal 4 3" xfId="3298"/>
    <cellStyle name="Normal 4 4" xfId="3299"/>
    <cellStyle name="Normal 4 4 2" xfId="3300"/>
    <cellStyle name="Normal 4 4 2 2" xfId="3301"/>
    <cellStyle name="Normal 4 4 2 2 2" xfId="3302"/>
    <cellStyle name="Normal 4 4 2 2 3" xfId="3303"/>
    <cellStyle name="Normal 4 4 2 2 4" xfId="3304"/>
    <cellStyle name="Normal 4 4 2 2_15% shr of costs" xfId="4639"/>
    <cellStyle name="Normal 4 4 2 3" xfId="3305"/>
    <cellStyle name="Normal 4 4 2 3 2" xfId="3306"/>
    <cellStyle name="Normal 4 4 2 3_15% shr of costs" xfId="4640"/>
    <cellStyle name="Normal 4 4 2 4" xfId="3307"/>
    <cellStyle name="Normal 4 4 2 4 2" xfId="3308"/>
    <cellStyle name="Normal 4 4 2 4_15% shr of costs" xfId="4641"/>
    <cellStyle name="Normal 4 4 2 5" xfId="3309"/>
    <cellStyle name="Normal 4 4 2 6" xfId="3310"/>
    <cellStyle name="Normal 4 4 2 7" xfId="3311"/>
    <cellStyle name="Normal 4 4 2_15% shr of costs" xfId="4638"/>
    <cellStyle name="Normal 4 4 3" xfId="3312"/>
    <cellStyle name="Normal 4 4 3 2" xfId="3313"/>
    <cellStyle name="Normal 4 4 3 3" xfId="3314"/>
    <cellStyle name="Normal 4 4 3 4" xfId="3315"/>
    <cellStyle name="Normal 4 4 3_15% shr of costs" xfId="4642"/>
    <cellStyle name="Normal 4 4 4" xfId="3316"/>
    <cellStyle name="Normal 4 4 4 2" xfId="3317"/>
    <cellStyle name="Normal 4 4 4_15% shr of costs" xfId="4643"/>
    <cellStyle name="Normal 4 4 5" xfId="3318"/>
    <cellStyle name="Normal 4 4 5 2" xfId="3319"/>
    <cellStyle name="Normal 4 4 5_15% shr of costs" xfId="4644"/>
    <cellStyle name="Normal 4 4 6" xfId="3320"/>
    <cellStyle name="Normal 4 4 7" xfId="3321"/>
    <cellStyle name="Normal 4 4 8" xfId="3322"/>
    <cellStyle name="Normal 4 5" xfId="3323"/>
    <cellStyle name="Normal 4 5 2" xfId="3324"/>
    <cellStyle name="Normal 4 5 2 2" xfId="3325"/>
    <cellStyle name="Normal 4 5 2 3" xfId="3326"/>
    <cellStyle name="Normal 4 5 2 4" xfId="3327"/>
    <cellStyle name="Normal 4 5 3" xfId="3328"/>
    <cellStyle name="Normal 4 5 3 2" xfId="3329"/>
    <cellStyle name="Normal 4 5 3_15% shr of costs" xfId="4645"/>
    <cellStyle name="Normal 4 5 4" xfId="3330"/>
    <cellStyle name="Normal 4 5 4 2" xfId="3331"/>
    <cellStyle name="Normal 4 5 4_15% shr of costs" xfId="4646"/>
    <cellStyle name="Normal 4 5 5" xfId="3332"/>
    <cellStyle name="Normal 4 5 6" xfId="3333"/>
    <cellStyle name="Normal 4 5 7" xfId="3334"/>
    <cellStyle name="Normal 4 6" xfId="3335"/>
    <cellStyle name="Normal 4 6 2" xfId="3336"/>
    <cellStyle name="Normal 4 6 3" xfId="3337"/>
    <cellStyle name="Normal 4 6 4" xfId="3338"/>
    <cellStyle name="Normal 4 7" xfId="3339"/>
    <cellStyle name="Normal 4 7 2" xfId="3340"/>
    <cellStyle name="Normal 4 8" xfId="3341"/>
    <cellStyle name="Normal 4 8 2" xfId="3342"/>
    <cellStyle name="Normal 4 9" xfId="3343"/>
    <cellStyle name="Normal 4_15% shr of costs" xfId="4631"/>
    <cellStyle name="Normal 5" xfId="3344"/>
    <cellStyle name="Normal 5 10" xfId="3345"/>
    <cellStyle name="Normal 5 11" xfId="3811"/>
    <cellStyle name="Normal 5 2" xfId="3346"/>
    <cellStyle name="Normal 5 2 2" xfId="3347"/>
    <cellStyle name="Normal 5 2 2 2" xfId="3348"/>
    <cellStyle name="Normal 5 2 2 2 2" xfId="3349"/>
    <cellStyle name="Normal 5 2 2 2 3" xfId="3350"/>
    <cellStyle name="Normal 5 2 2 2 4" xfId="3351"/>
    <cellStyle name="Normal 5 2 2 3" xfId="3352"/>
    <cellStyle name="Normal 5 2 2 3 2" xfId="3353"/>
    <cellStyle name="Normal 5 2 2 4" xfId="3354"/>
    <cellStyle name="Normal 5 2 2 4 2" xfId="3355"/>
    <cellStyle name="Normal 5 2 2 4_15% shr of costs" xfId="4648"/>
    <cellStyle name="Normal 5 2 2 5" xfId="3356"/>
    <cellStyle name="Normal 5 2 2 6" xfId="3357"/>
    <cellStyle name="Normal 5 2 2 7" xfId="3358"/>
    <cellStyle name="Normal 5 2 3" xfId="3359"/>
    <cellStyle name="Normal 5 2 3 2" xfId="3360"/>
    <cellStyle name="Normal 5 2 3 3" xfId="3361"/>
    <cellStyle name="Normal 5 2 3 4" xfId="3362"/>
    <cellStyle name="Normal 5 2 4" xfId="3363"/>
    <cellStyle name="Normal 5 2 4 2" xfId="3364"/>
    <cellStyle name="Normal 5 2 4_15% shr of costs" xfId="4649"/>
    <cellStyle name="Normal 5 2 5" xfId="3365"/>
    <cellStyle name="Normal 5 2 5 2" xfId="3366"/>
    <cellStyle name="Normal 5 2 5_15% shr of costs" xfId="4650"/>
    <cellStyle name="Normal 5 2 6" xfId="3367"/>
    <cellStyle name="Normal 5 2 7" xfId="3368"/>
    <cellStyle name="Normal 5 2 8" xfId="3369"/>
    <cellStyle name="Normal 5 3" xfId="3370"/>
    <cellStyle name="Normal 5 3 2" xfId="3371"/>
    <cellStyle name="Normal 5 3 2 2" xfId="3372"/>
    <cellStyle name="Normal 5 3 2 2 2" xfId="3373"/>
    <cellStyle name="Normal 5 3 2 2 3" xfId="3374"/>
    <cellStyle name="Normal 5 3 2 2 4" xfId="3375"/>
    <cellStyle name="Normal 5 3 2 2_15% shr of costs" xfId="4652"/>
    <cellStyle name="Normal 5 3 2 3" xfId="3376"/>
    <cellStyle name="Normal 5 3 2 3 2" xfId="3377"/>
    <cellStyle name="Normal 5 3 2 3_15% shr of costs" xfId="4653"/>
    <cellStyle name="Normal 5 3 2 4" xfId="3378"/>
    <cellStyle name="Normal 5 3 2 4 2" xfId="3379"/>
    <cellStyle name="Normal 5 3 2 4_15% shr of costs" xfId="4654"/>
    <cellStyle name="Normal 5 3 2 5" xfId="3380"/>
    <cellStyle name="Normal 5 3 2 6" xfId="3381"/>
    <cellStyle name="Normal 5 3 2 7" xfId="3382"/>
    <cellStyle name="Normal 5 3 2_15% shr of costs" xfId="4651"/>
    <cellStyle name="Normal 5 3 3" xfId="3383"/>
    <cellStyle name="Normal 5 3 3 2" xfId="3384"/>
    <cellStyle name="Normal 5 3 3 3" xfId="3385"/>
    <cellStyle name="Normal 5 3 3 4" xfId="3386"/>
    <cellStyle name="Normal 5 3 3_15% shr of costs" xfId="4655"/>
    <cellStyle name="Normal 5 3 4" xfId="3387"/>
    <cellStyle name="Normal 5 3 4 2" xfId="3388"/>
    <cellStyle name="Normal 5 3 4_15% shr of costs" xfId="4656"/>
    <cellStyle name="Normal 5 3 5" xfId="3389"/>
    <cellStyle name="Normal 5 3 5 2" xfId="3390"/>
    <cellStyle name="Normal 5 3 5_15% shr of costs" xfId="4657"/>
    <cellStyle name="Normal 5 3 6" xfId="3391"/>
    <cellStyle name="Normal 5 3 7" xfId="3392"/>
    <cellStyle name="Normal 5 3 8" xfId="3393"/>
    <cellStyle name="Normal 5 4" xfId="3394"/>
    <cellStyle name="Normal 5 4 2" xfId="3395"/>
    <cellStyle name="Normal 5 5" xfId="3396"/>
    <cellStyle name="Normal 5 6" xfId="3397"/>
    <cellStyle name="Normal 5 7" xfId="3398"/>
    <cellStyle name="Normal 5 8" xfId="3399"/>
    <cellStyle name="Normal 5 9" xfId="3400"/>
    <cellStyle name="Normal 5_15% shr of costs" xfId="4647"/>
    <cellStyle name="Normal 6" xfId="3401"/>
    <cellStyle name="Normal 6 2" xfId="3402"/>
    <cellStyle name="Normal 6 2 2" xfId="3403"/>
    <cellStyle name="Normal 6 2 2 2" xfId="3404"/>
    <cellStyle name="Normal 6 2 3" xfId="3405"/>
    <cellStyle name="Normal 6 2 4" xfId="3406"/>
    <cellStyle name="Normal 6 2_15% shr of costs" xfId="4659"/>
    <cellStyle name="Normal 6 3" xfId="3407"/>
    <cellStyle name="Normal 6 3 2" xfId="3408"/>
    <cellStyle name="Normal 6 4" xfId="3409"/>
    <cellStyle name="Normal 6 5" xfId="3760"/>
    <cellStyle name="Normal 6_15% shr of costs" xfId="4658"/>
    <cellStyle name="Normal 7" xfId="3410"/>
    <cellStyle name="Normal 7 2" xfId="3411"/>
    <cellStyle name="Normal 7 2 2" xfId="3412"/>
    <cellStyle name="Normal 7 2 2 2" xfId="3413"/>
    <cellStyle name="Normal 7 2 2 3" xfId="3414"/>
    <cellStyle name="Normal 7 2 2 4" xfId="3415"/>
    <cellStyle name="Normal 7 2 2_15% shr of costs" xfId="4662"/>
    <cellStyle name="Normal 7 2 3" xfId="3416"/>
    <cellStyle name="Normal 7 2 3 2" xfId="3417"/>
    <cellStyle name="Normal 7 2 3_15% shr of costs" xfId="4663"/>
    <cellStyle name="Normal 7 2 4" xfId="3418"/>
    <cellStyle name="Normal 7 2 4 2" xfId="3419"/>
    <cellStyle name="Normal 7 2 4_15% shr of costs" xfId="4664"/>
    <cellStyle name="Normal 7 2 5" xfId="3420"/>
    <cellStyle name="Normal 7 2 6" xfId="3421"/>
    <cellStyle name="Normal 7 2 7" xfId="3422"/>
    <cellStyle name="Normal 7 2_15% shr of costs" xfId="4661"/>
    <cellStyle name="Normal 7 3" xfId="3423"/>
    <cellStyle name="Normal 7 3 2" xfId="3424"/>
    <cellStyle name="Normal 7 3 3" xfId="3425"/>
    <cellStyle name="Normal 7 3 4" xfId="3426"/>
    <cellStyle name="Normal 7 3_15% shr of costs" xfId="4665"/>
    <cellStyle name="Normal 7 4" xfId="3427"/>
    <cellStyle name="Normal 7 4 2" xfId="3428"/>
    <cellStyle name="Normal 7 4_15% shr of costs" xfId="4666"/>
    <cellStyle name="Normal 7 5" xfId="3429"/>
    <cellStyle name="Normal 7 5 2" xfId="3430"/>
    <cellStyle name="Normal 7 5_15% shr of costs" xfId="4667"/>
    <cellStyle name="Normal 7 6" xfId="3431"/>
    <cellStyle name="Normal 7 7" xfId="3432"/>
    <cellStyle name="Normal 7 8" xfId="3433"/>
    <cellStyle name="Normal 7_15% shr of costs" xfId="4660"/>
    <cellStyle name="Normal 8" xfId="3434"/>
    <cellStyle name="Normal 8 2" xfId="3435"/>
    <cellStyle name="Normal 8 2 2" xfId="3436"/>
    <cellStyle name="Normal 8 2 2 2" xfId="3437"/>
    <cellStyle name="Normal 8 2 2 3" xfId="3438"/>
    <cellStyle name="Normal 8 2 2 4" xfId="3439"/>
    <cellStyle name="Normal 8 2 3" xfId="3440"/>
    <cellStyle name="Normal 8 2 3 2" xfId="3441"/>
    <cellStyle name="Normal 8 2 3_15% shr of costs" xfId="4668"/>
    <cellStyle name="Normal 8 2 4" xfId="3442"/>
    <cellStyle name="Normal 8 2 4 2" xfId="3443"/>
    <cellStyle name="Normal 8 2 4_15% shr of costs" xfId="4669"/>
    <cellStyle name="Normal 8 2 5" xfId="3444"/>
    <cellStyle name="Normal 8 2 6" xfId="3445"/>
    <cellStyle name="Normal 8 2 7" xfId="3446"/>
    <cellStyle name="Normal 8 3" xfId="3447"/>
    <cellStyle name="Normal 8 3 2" xfId="3448"/>
    <cellStyle name="Normal 8 3 3" xfId="3449"/>
    <cellStyle name="Normal 8 3 4" xfId="3450"/>
    <cellStyle name="Normal 8 4" xfId="3451"/>
    <cellStyle name="Normal 8 4 2" xfId="3452"/>
    <cellStyle name="Normal 8 5" xfId="3453"/>
    <cellStyle name="Normal 8 5 2" xfId="3454"/>
    <cellStyle name="Normal 8 5_15% shr of costs" xfId="4670"/>
    <cellStyle name="Normal 8 6" xfId="3455"/>
    <cellStyle name="Normal 8 7" xfId="3456"/>
    <cellStyle name="Normal 8 8" xfId="3457"/>
    <cellStyle name="Normal 9" xfId="3458"/>
    <cellStyle name="Normal 9 2" xfId="3459"/>
    <cellStyle name="Normal_15% shr of costs" xfId="4502"/>
    <cellStyle name="Normal_Sheet1" xfId="3846"/>
    <cellStyle name="Note 2" xfId="3460"/>
    <cellStyle name="Note 2 10" xfId="3461"/>
    <cellStyle name="Note 2 10 2" xfId="3462"/>
    <cellStyle name="Note 2 10 3" xfId="3463"/>
    <cellStyle name="Note 2 10 4" xfId="3464"/>
    <cellStyle name="Note 2 10_15% shr of costs" xfId="4672"/>
    <cellStyle name="Note 2 11" xfId="3465"/>
    <cellStyle name="Note 2 11 2" xfId="3466"/>
    <cellStyle name="Note 2 11 3" xfId="3467"/>
    <cellStyle name="Note 2 11 4" xfId="3468"/>
    <cellStyle name="Note 2 11_15% shr of costs" xfId="4673"/>
    <cellStyle name="Note 2 12" xfId="3469"/>
    <cellStyle name="Note 2 12 2" xfId="3470"/>
    <cellStyle name="Note 2 12 3" xfId="3471"/>
    <cellStyle name="Note 2 12 4" xfId="3472"/>
    <cellStyle name="Note 2 12_15% shr of costs" xfId="4674"/>
    <cellStyle name="Note 2 13" xfId="3473"/>
    <cellStyle name="Note 2 14" xfId="3474"/>
    <cellStyle name="Note 2 15" xfId="3475"/>
    <cellStyle name="Note 2 2" xfId="3476"/>
    <cellStyle name="Note 2 2 2" xfId="3477"/>
    <cellStyle name="Note 2 2 2 2" xfId="3478"/>
    <cellStyle name="Note 2 2 2 2 2" xfId="3479"/>
    <cellStyle name="Note 2 2 2 2 3" xfId="3480"/>
    <cellStyle name="Note 2 2 2 2 4" xfId="3481"/>
    <cellStyle name="Note 2 2 2 2_15% shr of costs" xfId="4677"/>
    <cellStyle name="Note 2 2 2 3" xfId="3482"/>
    <cellStyle name="Note 2 2 2 3 2" xfId="3483"/>
    <cellStyle name="Note 2 2 2 3 2 2" xfId="3484"/>
    <cellStyle name="Note 2 2 2 3 2 3" xfId="3485"/>
    <cellStyle name="Note 2 2 2 3 2 4" xfId="3486"/>
    <cellStyle name="Note 2 2 2 3 2 5" xfId="3487"/>
    <cellStyle name="Note 2 2 2 3 2_15% shr of costs" xfId="4679"/>
    <cellStyle name="Note 2 2 2 3 3" xfId="3488"/>
    <cellStyle name="Note 2 2 2 3 4" xfId="3489"/>
    <cellStyle name="Note 2 2 2 3 5" xfId="3490"/>
    <cellStyle name="Note 2 2 2 3 6" xfId="3491"/>
    <cellStyle name="Note 2 2 2 3_15% shr of costs" xfId="4678"/>
    <cellStyle name="Note 2 2 2 4" xfId="3492"/>
    <cellStyle name="Note 2 2 2 4 2" xfId="3493"/>
    <cellStyle name="Note 2 2 2 4 3" xfId="3494"/>
    <cellStyle name="Note 2 2 2 4 4" xfId="3495"/>
    <cellStyle name="Note 2 2 2 4 5" xfId="3496"/>
    <cellStyle name="Note 2 2 2 4_15% shr of costs" xfId="4680"/>
    <cellStyle name="Note 2 2 2 5" xfId="3497"/>
    <cellStyle name="Note 2 2 2 6" xfId="3498"/>
    <cellStyle name="Note 2 2 2 7" xfId="3499"/>
    <cellStyle name="Note 2 2 2 8" xfId="3500"/>
    <cellStyle name="Note 2 2 2_15% shr of costs" xfId="4676"/>
    <cellStyle name="Note 2 2 3" xfId="3501"/>
    <cellStyle name="Note 2 2 3 2" xfId="3502"/>
    <cellStyle name="Note 2 2 3 2 2" xfId="3503"/>
    <cellStyle name="Note 2 2 3 2 2 2" xfId="3504"/>
    <cellStyle name="Note 2 2 3 2 2 3" xfId="3505"/>
    <cellStyle name="Note 2 2 3 2 2 4" xfId="3506"/>
    <cellStyle name="Note 2 2 3 2 2 5" xfId="3507"/>
    <cellStyle name="Note 2 2 3 2 2_15% shr of costs" xfId="4683"/>
    <cellStyle name="Note 2 2 3 2 3" xfId="3508"/>
    <cellStyle name="Note 2 2 3 2 4" xfId="3509"/>
    <cellStyle name="Note 2 2 3 2 5" xfId="3510"/>
    <cellStyle name="Note 2 2 3 2 6" xfId="3511"/>
    <cellStyle name="Note 2 2 3 2_15% shr of costs" xfId="4682"/>
    <cellStyle name="Note 2 2 3 3" xfId="3512"/>
    <cellStyle name="Note 2 2 3 3 2" xfId="3513"/>
    <cellStyle name="Note 2 2 3 3 3" xfId="3514"/>
    <cellStyle name="Note 2 2 3 3 4" xfId="3515"/>
    <cellStyle name="Note 2 2 3 3 5" xfId="3516"/>
    <cellStyle name="Note 2 2 3 3_15% shr of costs" xfId="4684"/>
    <cellStyle name="Note 2 2 3 4" xfId="3517"/>
    <cellStyle name="Note 2 2 3 5" xfId="3518"/>
    <cellStyle name="Note 2 2 3 6" xfId="3519"/>
    <cellStyle name="Note 2 2 3 7" xfId="3520"/>
    <cellStyle name="Note 2 2 3_15% shr of costs" xfId="4681"/>
    <cellStyle name="Note 2 2 4" xfId="3521"/>
    <cellStyle name="Note 2 2 4 2" xfId="3522"/>
    <cellStyle name="Note 2 2 4 2 2" xfId="3523"/>
    <cellStyle name="Note 2 2 4 2 2 2" xfId="3524"/>
    <cellStyle name="Note 2 2 4 2 2 3" xfId="3525"/>
    <cellStyle name="Note 2 2 4 2 2 4" xfId="3526"/>
    <cellStyle name="Note 2 2 4 2 2 5" xfId="3527"/>
    <cellStyle name="Note 2 2 4 2 2_15% shr of costs" xfId="4687"/>
    <cellStyle name="Note 2 2 4 2 3" xfId="3528"/>
    <cellStyle name="Note 2 2 4 2 4" xfId="3529"/>
    <cellStyle name="Note 2 2 4 2 5" xfId="3530"/>
    <cellStyle name="Note 2 2 4 2 6" xfId="3531"/>
    <cellStyle name="Note 2 2 4 2_15% shr of costs" xfId="4686"/>
    <cellStyle name="Note 2 2 4 3" xfId="3532"/>
    <cellStyle name="Note 2 2 4 3 2" xfId="3533"/>
    <cellStyle name="Note 2 2 4 3 3" xfId="3534"/>
    <cellStyle name="Note 2 2 4 3 4" xfId="3535"/>
    <cellStyle name="Note 2 2 4 3 5" xfId="3536"/>
    <cellStyle name="Note 2 2 4 3_15% shr of costs" xfId="4688"/>
    <cellStyle name="Note 2 2 4 4" xfId="3537"/>
    <cellStyle name="Note 2 2 4 5" xfId="3538"/>
    <cellStyle name="Note 2 2 4 6" xfId="3539"/>
    <cellStyle name="Note 2 2 4 7" xfId="3540"/>
    <cellStyle name="Note 2 2 4_15% shr of costs" xfId="4685"/>
    <cellStyle name="Note 2 2 5" xfId="3541"/>
    <cellStyle name="Note 2 2 5 2" xfId="3542"/>
    <cellStyle name="Note 2 2 5 2 2" xfId="3543"/>
    <cellStyle name="Note 2 2 5 2 2 2" xfId="3544"/>
    <cellStyle name="Note 2 2 5 2 2 3" xfId="3545"/>
    <cellStyle name="Note 2 2 5 2 2 4" xfId="3546"/>
    <cellStyle name="Note 2 2 5 2 2 5" xfId="3547"/>
    <cellStyle name="Note 2 2 5 2 2_15% shr of costs" xfId="4691"/>
    <cellStyle name="Note 2 2 5 2 3" xfId="3548"/>
    <cellStyle name="Note 2 2 5 2 4" xfId="3549"/>
    <cellStyle name="Note 2 2 5 2 5" xfId="3550"/>
    <cellStyle name="Note 2 2 5 2 6" xfId="3551"/>
    <cellStyle name="Note 2 2 5 2_15% shr of costs" xfId="4690"/>
    <cellStyle name="Note 2 2 5 3" xfId="3552"/>
    <cellStyle name="Note 2 2 5 3 2" xfId="3553"/>
    <cellStyle name="Note 2 2 5 3 3" xfId="3554"/>
    <cellStyle name="Note 2 2 5 3 4" xfId="3555"/>
    <cellStyle name="Note 2 2 5 3 5" xfId="3556"/>
    <cellStyle name="Note 2 2 5 3_15% shr of costs" xfId="4692"/>
    <cellStyle name="Note 2 2 5 4" xfId="3557"/>
    <cellStyle name="Note 2 2 5 5" xfId="3558"/>
    <cellStyle name="Note 2 2 5 6" xfId="3559"/>
    <cellStyle name="Note 2 2 5 7" xfId="3560"/>
    <cellStyle name="Note 2 2 5_15% shr of costs" xfId="4689"/>
    <cellStyle name="Note 2 2 6" xfId="3561"/>
    <cellStyle name="Note 2 2 7" xfId="3562"/>
    <cellStyle name="Note 2 2 8" xfId="3563"/>
    <cellStyle name="Note 2 2_15% shr of costs" xfId="4675"/>
    <cellStyle name="Note 2 3" xfId="3564"/>
    <cellStyle name="Note 2 3 2" xfId="3565"/>
    <cellStyle name="Note 2 3 2 2" xfId="3566"/>
    <cellStyle name="Note 2 3 2 3" xfId="3567"/>
    <cellStyle name="Note 2 3 2 4" xfId="3568"/>
    <cellStyle name="Note 2 3 2_15% shr of costs" xfId="4693"/>
    <cellStyle name="Note 2 3 3" xfId="3569"/>
    <cellStyle name="Note 2 3 3 2" xfId="3570"/>
    <cellStyle name="Note 2 3 3_15% shr of costs" xfId="4694"/>
    <cellStyle name="Note 2 3 4" xfId="3571"/>
    <cellStyle name="Note 2 3 4 2" xfId="3572"/>
    <cellStyle name="Note 2 3 4_15% shr of costs" xfId="4695"/>
    <cellStyle name="Note 2 3 5" xfId="3573"/>
    <cellStyle name="Note 2 3 6" xfId="3574"/>
    <cellStyle name="Note 2 3 7" xfId="3575"/>
    <cellStyle name="Note 2 4" xfId="3576"/>
    <cellStyle name="Note 2 4 2" xfId="3577"/>
    <cellStyle name="Note 2 4 2 2" xfId="3578"/>
    <cellStyle name="Note 2 4 2 2 2" xfId="3579"/>
    <cellStyle name="Note 2 4 2 2 3" xfId="3580"/>
    <cellStyle name="Note 2 4 2 2 4" xfId="3581"/>
    <cellStyle name="Note 2 4 2 2 5" xfId="3582"/>
    <cellStyle name="Note 2 4 2 2_15% shr of costs" xfId="4698"/>
    <cellStyle name="Note 2 4 2 3" xfId="3583"/>
    <cellStyle name="Note 2 4 2 4" xfId="3584"/>
    <cellStyle name="Note 2 4 2 5" xfId="3585"/>
    <cellStyle name="Note 2 4 2 6" xfId="3586"/>
    <cellStyle name="Note 2 4 2_15% shr of costs" xfId="4697"/>
    <cellStyle name="Note 2 4 3" xfId="3587"/>
    <cellStyle name="Note 2 4 3 2" xfId="3588"/>
    <cellStyle name="Note 2 4 3 3" xfId="3589"/>
    <cellStyle name="Note 2 4 3 4" xfId="3590"/>
    <cellStyle name="Note 2 4 3 5" xfId="3591"/>
    <cellStyle name="Note 2 4 3_15% shr of costs" xfId="4699"/>
    <cellStyle name="Note 2 4 4" xfId="3592"/>
    <cellStyle name="Note 2 4 5" xfId="3593"/>
    <cellStyle name="Note 2 4 6" xfId="3594"/>
    <cellStyle name="Note 2 4 7" xfId="3595"/>
    <cellStyle name="Note 2 4_15% shr of costs" xfId="4696"/>
    <cellStyle name="Note 2 5" xfId="3596"/>
    <cellStyle name="Note 2 5 2" xfId="3597"/>
    <cellStyle name="Note 2 5 2 2" xfId="3598"/>
    <cellStyle name="Note 2 5 2 2 2" xfId="3599"/>
    <cellStyle name="Note 2 5 2 2 3" xfId="3600"/>
    <cellStyle name="Note 2 5 2 2 4" xfId="3601"/>
    <cellStyle name="Note 2 5 2 2 5" xfId="3602"/>
    <cellStyle name="Note 2 5 2 2_15% shr of costs" xfId="4702"/>
    <cellStyle name="Note 2 5 2 3" xfId="3603"/>
    <cellStyle name="Note 2 5 2 4" xfId="3604"/>
    <cellStyle name="Note 2 5 2 5" xfId="3605"/>
    <cellStyle name="Note 2 5 2 6" xfId="3606"/>
    <cellStyle name="Note 2 5 2_15% shr of costs" xfId="4701"/>
    <cellStyle name="Note 2 5 3" xfId="3607"/>
    <cellStyle name="Note 2 5 3 2" xfId="3608"/>
    <cellStyle name="Note 2 5 3 3" xfId="3609"/>
    <cellStyle name="Note 2 5 3 4" xfId="3610"/>
    <cellStyle name="Note 2 5 3 5" xfId="3611"/>
    <cellStyle name="Note 2 5 3_15% shr of costs" xfId="4703"/>
    <cellStyle name="Note 2 5 4" xfId="3612"/>
    <cellStyle name="Note 2 5 5" xfId="3613"/>
    <cellStyle name="Note 2 5 6" xfId="3614"/>
    <cellStyle name="Note 2 5 7" xfId="3615"/>
    <cellStyle name="Note 2 5_15% shr of costs" xfId="4700"/>
    <cellStyle name="Note 2 6" xfId="3616"/>
    <cellStyle name="Note 2 6 2" xfId="3617"/>
    <cellStyle name="Note 2 6 2 2" xfId="3618"/>
    <cellStyle name="Note 2 6 2 2 2" xfId="3619"/>
    <cellStyle name="Note 2 6 2 2 3" xfId="3620"/>
    <cellStyle name="Note 2 6 2 2 4" xfId="3621"/>
    <cellStyle name="Note 2 6 2 2 5" xfId="3622"/>
    <cellStyle name="Note 2 6 2 2_15% shr of costs" xfId="4706"/>
    <cellStyle name="Note 2 6 2 3" xfId="3623"/>
    <cellStyle name="Note 2 6 2 4" xfId="3624"/>
    <cellStyle name="Note 2 6 2 5" xfId="3625"/>
    <cellStyle name="Note 2 6 2 6" xfId="3626"/>
    <cellStyle name="Note 2 6 2_15% shr of costs" xfId="4705"/>
    <cellStyle name="Note 2 6 3" xfId="3627"/>
    <cellStyle name="Note 2 6 3 2" xfId="3628"/>
    <cellStyle name="Note 2 6 3 3" xfId="3629"/>
    <cellStyle name="Note 2 6 3 4" xfId="3630"/>
    <cellStyle name="Note 2 6 3 5" xfId="3631"/>
    <cellStyle name="Note 2 6 3_15% shr of costs" xfId="4707"/>
    <cellStyle name="Note 2 6 4" xfId="3632"/>
    <cellStyle name="Note 2 6 5" xfId="3633"/>
    <cellStyle name="Note 2 6 6" xfId="3634"/>
    <cellStyle name="Note 2 6 7" xfId="3635"/>
    <cellStyle name="Note 2 6_15% shr of costs" xfId="4704"/>
    <cellStyle name="Note 2 7" xfId="3636"/>
    <cellStyle name="Note 2 7 2" xfId="3637"/>
    <cellStyle name="Note 2 7 2 2" xfId="3638"/>
    <cellStyle name="Note 2 7 2 2 2" xfId="3639"/>
    <cellStyle name="Note 2 7 2 2 3" xfId="3640"/>
    <cellStyle name="Note 2 7 2 2 4" xfId="3641"/>
    <cellStyle name="Note 2 7 2 2 5" xfId="3642"/>
    <cellStyle name="Note 2 7 2 2_15% shr of costs" xfId="4710"/>
    <cellStyle name="Note 2 7 2 3" xfId="3643"/>
    <cellStyle name="Note 2 7 2 4" xfId="3644"/>
    <cellStyle name="Note 2 7 2 5" xfId="3645"/>
    <cellStyle name="Note 2 7 2 6" xfId="3646"/>
    <cellStyle name="Note 2 7 2_15% shr of costs" xfId="4709"/>
    <cellStyle name="Note 2 7 3" xfId="3647"/>
    <cellStyle name="Note 2 7 3 2" xfId="3648"/>
    <cellStyle name="Note 2 7 3 3" xfId="3649"/>
    <cellStyle name="Note 2 7 3 4" xfId="3650"/>
    <cellStyle name="Note 2 7 3 5" xfId="3651"/>
    <cellStyle name="Note 2 7 3_15% shr of costs" xfId="4711"/>
    <cellStyle name="Note 2 7 4" xfId="3652"/>
    <cellStyle name="Note 2 7 5" xfId="3653"/>
    <cellStyle name="Note 2 7 6" xfId="3654"/>
    <cellStyle name="Note 2 7 7" xfId="3655"/>
    <cellStyle name="Note 2 7_15% shr of costs" xfId="4708"/>
    <cellStyle name="Note 2 8" xfId="3656"/>
    <cellStyle name="Note 2 8 2" xfId="3657"/>
    <cellStyle name="Note 2 8 2 2" xfId="3658"/>
    <cellStyle name="Note 2 8 2 3" xfId="3659"/>
    <cellStyle name="Note 2 8 2 4" xfId="3660"/>
    <cellStyle name="Note 2 8 2 5" xfId="3661"/>
    <cellStyle name="Note 2 8 2_15% shr of costs" xfId="4713"/>
    <cellStyle name="Note 2 8 3" xfId="3662"/>
    <cellStyle name="Note 2 8 4" xfId="3663"/>
    <cellStyle name="Note 2 8 5" xfId="3664"/>
    <cellStyle name="Note 2 8 6" xfId="3665"/>
    <cellStyle name="Note 2 8_15% shr of costs" xfId="4712"/>
    <cellStyle name="Note 2 9" xfId="3666"/>
    <cellStyle name="Note 2 9 2" xfId="3667"/>
    <cellStyle name="Note 2 9 3" xfId="3668"/>
    <cellStyle name="Note 2 9 4" xfId="3669"/>
    <cellStyle name="Note 2 9 5" xfId="3670"/>
    <cellStyle name="Note 2 9_15% shr of costs" xfId="4714"/>
    <cellStyle name="Note 2_15% shr of costs" xfId="4671"/>
    <cellStyle name="Note 3" xfId="3671"/>
    <cellStyle name="Note 3 2" xfId="3672"/>
    <cellStyle name="Note 3 2 2" xfId="3673"/>
    <cellStyle name="Note 3 2 2 2" xfId="3674"/>
    <cellStyle name="Note 3 2 2 2 2" xfId="3675"/>
    <cellStyle name="Note 3 2 2 2 3" xfId="3676"/>
    <cellStyle name="Note 3 2 2 2 4" xfId="3677"/>
    <cellStyle name="Note 3 2 2 2_15% shr of costs" xfId="4717"/>
    <cellStyle name="Note 3 2 2 3" xfId="3678"/>
    <cellStyle name="Note 3 2 2 3 2" xfId="3679"/>
    <cellStyle name="Note 3 2 2 3_15% shr of costs" xfId="4718"/>
    <cellStyle name="Note 3 2 2 4" xfId="3680"/>
    <cellStyle name="Note 3 2 2 4 2" xfId="3681"/>
    <cellStyle name="Note 3 2 2 4_15% shr of costs" xfId="4719"/>
    <cellStyle name="Note 3 2 2 5" xfId="3682"/>
    <cellStyle name="Note 3 2 2 6" xfId="3683"/>
    <cellStyle name="Note 3 2 2 7" xfId="3684"/>
    <cellStyle name="Note 3 2 2_15% shr of costs" xfId="4716"/>
    <cellStyle name="Note 3 2 3" xfId="3685"/>
    <cellStyle name="Note 3 2 3 2" xfId="3686"/>
    <cellStyle name="Note 3 2 3 3" xfId="3687"/>
    <cellStyle name="Note 3 2 3 4" xfId="3688"/>
    <cellStyle name="Note 3 2 3_15% shr of costs" xfId="4720"/>
    <cellStyle name="Note 3 2 4" xfId="3689"/>
    <cellStyle name="Note 3 2 4 2" xfId="3690"/>
    <cellStyle name="Note 3 2 4_15% shr of costs" xfId="4721"/>
    <cellStyle name="Note 3 2 5" xfId="3691"/>
    <cellStyle name="Note 3 2 5 2" xfId="3692"/>
    <cellStyle name="Note 3 2 5_15% shr of costs" xfId="4722"/>
    <cellStyle name="Note 3 2 6" xfId="3693"/>
    <cellStyle name="Note 3 2 7" xfId="3694"/>
    <cellStyle name="Note 3 2 8" xfId="3695"/>
    <cellStyle name="Note 3 2_15% shr of costs" xfId="4715"/>
    <cellStyle name="Note 3 3" xfId="3696"/>
    <cellStyle name="Note 3 3 2" xfId="3697"/>
    <cellStyle name="Note 3 3 2 2" xfId="3698"/>
    <cellStyle name="Note 3 3 2 3" xfId="3699"/>
    <cellStyle name="Note 3 3 2 4" xfId="3700"/>
    <cellStyle name="Note 3 3 2_15% shr of costs" xfId="4724"/>
    <cellStyle name="Note 3 3 3" xfId="3701"/>
    <cellStyle name="Note 3 3 3 2" xfId="3702"/>
    <cellStyle name="Note 3 3 3_15% shr of costs" xfId="4725"/>
    <cellStyle name="Note 3 3 4" xfId="3703"/>
    <cellStyle name="Note 3 3 4 2" xfId="3704"/>
    <cellStyle name="Note 3 3 4_15% shr of costs" xfId="4726"/>
    <cellStyle name="Note 3 3 5" xfId="3705"/>
    <cellStyle name="Note 3 3 6" xfId="3706"/>
    <cellStyle name="Note 3 3 7" xfId="3707"/>
    <cellStyle name="Note 3 3_15% shr of costs" xfId="4723"/>
    <cellStyle name="Note 3 4" xfId="3708"/>
    <cellStyle name="Note 3 4 2" xfId="3709"/>
    <cellStyle name="Note 3 4 3" xfId="3710"/>
    <cellStyle name="Note 3 4 4" xfId="3711"/>
    <cellStyle name="Note 3 4_15% shr of costs" xfId="4727"/>
    <cellStyle name="Note 3 5" xfId="3712"/>
    <cellStyle name="Note 3 5 2" xfId="3713"/>
    <cellStyle name="Note 3 5_15% shr of costs" xfId="4728"/>
    <cellStyle name="Note 3 6" xfId="3714"/>
    <cellStyle name="Note 3 6 2" xfId="3715"/>
    <cellStyle name="Note 3 6_15% shr of costs" xfId="4729"/>
    <cellStyle name="Note 3 7" xfId="3716"/>
    <cellStyle name="Note 3 8" xfId="3717"/>
    <cellStyle name="Note 3 9" xfId="3718"/>
    <cellStyle name="Note 4" xfId="3719"/>
    <cellStyle name="Note 4 2" xfId="3720"/>
    <cellStyle name="Note 4 2 2" xfId="3721"/>
    <cellStyle name="Note 4 2 2 2" xfId="3722"/>
    <cellStyle name="Note 4 2 2 3" xfId="3723"/>
    <cellStyle name="Note 4 2 2 4" xfId="3724"/>
    <cellStyle name="Note 4 2 2 5" xfId="3725"/>
    <cellStyle name="Note 4 2 2_15% shr of costs" xfId="4732"/>
    <cellStyle name="Note 4 2 3" xfId="3726"/>
    <cellStyle name="Note 4 2 3 2" xfId="3727"/>
    <cellStyle name="Note 4 2 3_15% shr of costs" xfId="4733"/>
    <cellStyle name="Note 4 2 4" xfId="3728"/>
    <cellStyle name="Note 4 2 4 2" xfId="3729"/>
    <cellStyle name="Note 4 2 4_15% shr of costs" xfId="4734"/>
    <cellStyle name="Note 4 2 5" xfId="3730"/>
    <cellStyle name="Note 4 2 6" xfId="3731"/>
    <cellStyle name="Note 4 2 7" xfId="3732"/>
    <cellStyle name="Note 4 2_15% shr of costs" xfId="4731"/>
    <cellStyle name="Note 4 3" xfId="3733"/>
    <cellStyle name="Note 4 3 2" xfId="3734"/>
    <cellStyle name="Note 4 3 3" xfId="3735"/>
    <cellStyle name="Note 4 3 4" xfId="3736"/>
    <cellStyle name="Note 4 3 5" xfId="3737"/>
    <cellStyle name="Note 4 3_15% shr of costs" xfId="4735"/>
    <cellStyle name="Note 4 4" xfId="3738"/>
    <cellStyle name="Note 4 4 2" xfId="3739"/>
    <cellStyle name="Note 4 4_15% shr of costs" xfId="4736"/>
    <cellStyle name="Note 4 5" xfId="3740"/>
    <cellStyle name="Note 4 5 2" xfId="3741"/>
    <cellStyle name="Note 4 5_15% shr of costs" xfId="4737"/>
    <cellStyle name="Note 4 6" xfId="3742"/>
    <cellStyle name="Note 4 7" xfId="3743"/>
    <cellStyle name="Note 4 8" xfId="3744"/>
    <cellStyle name="Note 4_15% shr of costs" xfId="4730"/>
    <cellStyle name="Note 5" xfId="3745"/>
    <cellStyle name="Note 5 2" xfId="3746"/>
    <cellStyle name="Note 5 3" xfId="3747"/>
    <cellStyle name="Note 5 4" xfId="3748"/>
    <cellStyle name="Note 5 5" xfId="3749"/>
    <cellStyle name="Note 5_15% shr of costs" xfId="4738"/>
    <cellStyle name="Note 6" xfId="3750"/>
    <cellStyle name="Note 6 2" xfId="3751"/>
    <cellStyle name="Note 6 3" xfId="3752"/>
    <cellStyle name="Note 6_15% shr of costs" xfId="4739"/>
    <cellStyle name="Output 2" xfId="3753"/>
    <cellStyle name="Percent" xfId="1" builtinId="5"/>
    <cellStyle name="Result" xfId="3754"/>
    <cellStyle name="Result2" xfId="3755"/>
    <cellStyle name="Style1" xfId="3812"/>
    <cellStyle name="Style1 2" xfId="3813"/>
    <cellStyle name="Style1 3" xfId="3814"/>
    <cellStyle name="Style1 4" xfId="3841"/>
    <cellStyle name="Style2" xfId="3815"/>
    <cellStyle name="Style2 2" xfId="3816"/>
    <cellStyle name="Style2 3" xfId="3817"/>
    <cellStyle name="Style2 4" xfId="3842"/>
    <cellStyle name="Style3" xfId="3818"/>
    <cellStyle name="Style3 2" xfId="3819"/>
    <cellStyle name="Style3 3" xfId="3820"/>
    <cellStyle name="Style3 4" xfId="3843"/>
    <cellStyle name="Style4" xfId="3821"/>
    <cellStyle name="Style4 2" xfId="3822"/>
    <cellStyle name="Style4 3" xfId="3823"/>
    <cellStyle name="Style4 4" xfId="3844"/>
    <cellStyle name="Style5" xfId="3824"/>
    <cellStyle name="Style5 2" xfId="3825"/>
    <cellStyle name="Style5 3" xfId="3826"/>
    <cellStyle name="Style5 4" xfId="3827"/>
    <cellStyle name="Style5 4 2" xfId="3828"/>
    <cellStyle name="Style6" xfId="3829"/>
    <cellStyle name="Style6 2" xfId="3830"/>
    <cellStyle name="Style6 2 2" xfId="3831"/>
    <cellStyle name="Style6 3" xfId="3832"/>
    <cellStyle name="Style7" xfId="3833"/>
    <cellStyle name="Style7 2" xfId="3834"/>
    <cellStyle name="Style7 3" xfId="3835"/>
    <cellStyle name="Style8" xfId="3836"/>
    <cellStyle name="Style8 2" xfId="3837"/>
    <cellStyle name="Style8 3" xfId="3838"/>
    <cellStyle name="Style8 4" xfId="3839"/>
    <cellStyle name="Title 2" xfId="3756"/>
    <cellStyle name="Total 2" xfId="3757"/>
    <cellStyle name="Warning Text 2" xfId="3758"/>
  </cellStyles>
  <dxfs count="0"/>
  <tableStyles count="0" defaultTableStyle="TableStyleMedium2" defaultPivotStyle="PivotStyleLight16"/>
  <colors>
    <mruColors>
      <color rgb="FF78A22F"/>
      <color rgb="FFBFBFBF"/>
      <color rgb="FF265A9A"/>
      <color rgb="FFB2D6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343543543543544"/>
          <c:y val="2.8073076923076923E-2"/>
          <c:w val="0.79236186186186186"/>
          <c:h val="0.64413162393162393"/>
        </c:manualLayout>
      </c:layout>
      <c:lineChart>
        <c:grouping val="standard"/>
        <c:varyColors val="0"/>
        <c:ser>
          <c:idx val="0"/>
          <c:order val="0"/>
          <c:tx>
            <c:strRef>
              <c:f>'BEACH&amp;ABS'!$A$40</c:f>
              <c:strCache>
                <c:ptCount val="1"/>
                <c:pt idx="0">
                  <c:v>BEACH 2015-16</c:v>
                </c:pt>
              </c:strCache>
            </c:strRef>
          </c:tx>
          <c:spPr>
            <a:ln>
              <a:solidFill>
                <a:srgbClr val="78A22F"/>
              </a:solidFill>
            </a:ln>
          </c:spPr>
          <c:marker>
            <c:symbol val="none"/>
          </c:marker>
          <c:cat>
            <c:strRef>
              <c:f>'BEACH&amp;ABS'!$B$39:$F$39</c:f>
              <c:strCache>
                <c:ptCount val="5"/>
                <c:pt idx="0">
                  <c:v> 15-24</c:v>
                </c:pt>
                <c:pt idx="1">
                  <c:v> 25-44</c:v>
                </c:pt>
                <c:pt idx="2">
                  <c:v> 45-65</c:v>
                </c:pt>
                <c:pt idx="3">
                  <c:v> 65-74</c:v>
                </c:pt>
                <c:pt idx="4">
                  <c:v>75+ years</c:v>
                </c:pt>
              </c:strCache>
            </c:strRef>
          </c:cat>
          <c:val>
            <c:numRef>
              <c:f>'BEACH&amp;ABS'!$B$40:$F$40</c:f>
              <c:numCache>
                <c:formatCode>0.0</c:formatCode>
                <c:ptCount val="5"/>
                <c:pt idx="0">
                  <c:v>8.9164785553047405</c:v>
                </c:pt>
                <c:pt idx="1">
                  <c:v>25.733634311512422</c:v>
                </c:pt>
                <c:pt idx="2">
                  <c:v>30.699774266365694</c:v>
                </c:pt>
                <c:pt idx="3">
                  <c:v>16.591422121896162</c:v>
                </c:pt>
                <c:pt idx="4">
                  <c:v>18.058690744920995</c:v>
                </c:pt>
              </c:numCache>
            </c:numRef>
          </c:val>
          <c:smooth val="0"/>
        </c:ser>
        <c:ser>
          <c:idx val="1"/>
          <c:order val="1"/>
          <c:tx>
            <c:strRef>
              <c:f>'BEACH&amp;ABS'!$A$41</c:f>
              <c:strCache>
                <c:ptCount val="1"/>
                <c:pt idx="0">
                  <c:v>ABS 2015-16</c:v>
                </c:pt>
              </c:strCache>
            </c:strRef>
          </c:tx>
          <c:spPr>
            <a:ln cmpd="sng">
              <a:solidFill>
                <a:srgbClr val="265A9A"/>
              </a:solidFill>
              <a:prstDash val="solid"/>
            </a:ln>
            <a:effectLst/>
          </c:spPr>
          <c:marker>
            <c:symbol val="none"/>
          </c:marker>
          <c:cat>
            <c:strRef>
              <c:f>'BEACH&amp;ABS'!$B$39:$F$39</c:f>
              <c:strCache>
                <c:ptCount val="5"/>
                <c:pt idx="0">
                  <c:v> 15-24</c:v>
                </c:pt>
                <c:pt idx="1">
                  <c:v> 25-44</c:v>
                </c:pt>
                <c:pt idx="2">
                  <c:v> 45-65</c:v>
                </c:pt>
                <c:pt idx="3">
                  <c:v> 65-74</c:v>
                </c:pt>
                <c:pt idx="4">
                  <c:v>75+ years</c:v>
                </c:pt>
              </c:strCache>
            </c:strRef>
          </c:cat>
          <c:val>
            <c:numRef>
              <c:f>'BEACH&amp;ABS'!$B$41:$F$41</c:f>
              <c:numCache>
                <c:formatCode>0.0</c:formatCode>
                <c:ptCount val="5"/>
                <c:pt idx="0">
                  <c:v>12.174235598434157</c:v>
                </c:pt>
                <c:pt idx="1">
                  <c:v>29.443329313007087</c:v>
                </c:pt>
                <c:pt idx="2">
                  <c:v>30.630276678193553</c:v>
                </c:pt>
                <c:pt idx="3">
                  <c:v>14.832918680030685</c:v>
                </c:pt>
                <c:pt idx="4">
                  <c:v>12.919239730334512</c:v>
                </c:pt>
              </c:numCache>
            </c:numRef>
          </c:val>
          <c:smooth val="0"/>
        </c:ser>
        <c:dLbls>
          <c:showLegendKey val="0"/>
          <c:showVal val="0"/>
          <c:showCatName val="0"/>
          <c:showSerName val="0"/>
          <c:showPercent val="0"/>
          <c:showBubbleSize val="0"/>
        </c:dLbls>
        <c:smooth val="0"/>
        <c:axId val="435012352"/>
        <c:axId val="435010000"/>
      </c:lineChart>
      <c:catAx>
        <c:axId val="435012352"/>
        <c:scaling>
          <c:orientation val="minMax"/>
        </c:scaling>
        <c:delete val="0"/>
        <c:axPos val="b"/>
        <c:numFmt formatCode="General" sourceLinked="1"/>
        <c:majorTickMark val="out"/>
        <c:minorTickMark val="none"/>
        <c:tickLblPos val="nextTo"/>
        <c:spPr>
          <a:ln>
            <a:solidFill>
              <a:srgbClr val="BFBFBF"/>
            </a:solidFill>
          </a:ln>
        </c:spPr>
        <c:crossAx val="435010000"/>
        <c:crosses val="autoZero"/>
        <c:auto val="1"/>
        <c:lblAlgn val="ctr"/>
        <c:lblOffset val="100"/>
        <c:noMultiLvlLbl val="0"/>
      </c:catAx>
      <c:valAx>
        <c:axId val="435010000"/>
        <c:scaling>
          <c:orientation val="minMax"/>
        </c:scaling>
        <c:delete val="0"/>
        <c:axPos val="l"/>
        <c:numFmt formatCode="0.0" sourceLinked="1"/>
        <c:majorTickMark val="out"/>
        <c:minorTickMark val="none"/>
        <c:tickLblPos val="nextTo"/>
        <c:spPr>
          <a:ln>
            <a:solidFill>
              <a:srgbClr val="BFBFBF"/>
            </a:solidFill>
          </a:ln>
        </c:spPr>
        <c:crossAx val="435012352"/>
        <c:crosses val="autoZero"/>
        <c:crossBetween val="between"/>
      </c:valAx>
      <c:spPr>
        <a:noFill/>
        <a:ln>
          <a:noFill/>
        </a:ln>
      </c:spPr>
    </c:plotArea>
    <c:legend>
      <c:legendPos val="b"/>
      <c:layout/>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image" Target="file:///C:\Data\PPW\Prod\ABSLogo.gif"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251460</xdr:colOff>
      <xdr:row>51</xdr:row>
      <xdr:rowOff>30480</xdr:rowOff>
    </xdr:from>
    <xdr:to>
      <xdr:col>3</xdr:col>
      <xdr:colOff>129540</xdr:colOff>
      <xdr:row>57</xdr:row>
      <xdr:rowOff>114300</xdr:rowOff>
    </xdr:to>
    <xdr:sp macro="" textlink="">
      <xdr:nvSpPr>
        <xdr:cNvPr id="2" name="TextBox 1"/>
        <xdr:cNvSpPr txBox="1"/>
      </xdr:nvSpPr>
      <xdr:spPr>
        <a:xfrm>
          <a:off x="251460" y="8564880"/>
          <a:ext cx="1878330" cy="1150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 Note that average weekly hours relates to all employed, while wages are for employees. The implict assumption is that the </a:t>
          </a:r>
          <a:r>
            <a:rPr lang="en-AU" sz="1100">
              <a:solidFill>
                <a:schemeClr val="dk1"/>
              </a:solidFill>
              <a:effectLst/>
              <a:latin typeface="+mn-lt"/>
              <a:ea typeface="+mn-ea"/>
              <a:cs typeface="+mn-cs"/>
            </a:rPr>
            <a:t>average</a:t>
          </a:r>
          <a:r>
            <a:rPr lang="en-AU" sz="1100" baseline="0">
              <a:solidFill>
                <a:schemeClr val="dk1"/>
              </a:solidFill>
              <a:effectLst/>
              <a:latin typeface="+mn-lt"/>
              <a:ea typeface="+mn-ea"/>
              <a:cs typeface="+mn-cs"/>
            </a:rPr>
            <a:t> weekly earnings by employees is equal to that of employed non-employees (after considering the labour component of gross mixed income</a:t>
          </a:r>
          <a:endParaRPr lang="en-AU" sz="1100"/>
        </a:p>
        <a:p>
          <a:endParaRPr lang="en-AU" sz="1100"/>
        </a:p>
      </xdr:txBody>
    </xdr:sp>
    <xdr:clientData/>
  </xdr:twoCellAnchor>
  <xdr:twoCellAnchor>
    <xdr:from>
      <xdr:col>2</xdr:col>
      <xdr:colOff>469900</xdr:colOff>
      <xdr:row>12</xdr:row>
      <xdr:rowOff>121920</xdr:rowOff>
    </xdr:from>
    <xdr:to>
      <xdr:col>10</xdr:col>
      <xdr:colOff>234950</xdr:colOff>
      <xdr:row>27</xdr:row>
      <xdr:rowOff>99060</xdr:rowOff>
    </xdr:to>
    <xdr:sp macro="" textlink="">
      <xdr:nvSpPr>
        <xdr:cNvPr id="3" name="TextBox 2"/>
        <xdr:cNvSpPr txBox="1"/>
      </xdr:nvSpPr>
      <xdr:spPr>
        <a:xfrm>
          <a:off x="5588000" y="1569720"/>
          <a:ext cx="6699250" cy="2167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There is very little data on average wait times in GP and specialist clinics (cf hospital Ed waiting times). One of the few</a:t>
          </a:r>
          <a:r>
            <a:rPr lang="en-AU" sz="1100" baseline="0"/>
            <a:t> estimates is from Tonic Health Media, which provides Tonic Direct services to patients during the waiting period (set up by Norman Swan and with contributions from various governments) . See http://www.tonichealthmedia.com.au/about-us/. Also see AMA, 2014 'Full meeting rooms? This could be the tonic, Australian Medicince, 4 March. Tonic Health Media estimated an average dwell time in a waiting room of 35 minutes (web page accessed on </a:t>
          </a:r>
          <a:r>
            <a:rPr lang="en-AU" sz="1100" baseline="0">
              <a:solidFill>
                <a:schemeClr val="dk1"/>
              </a:solidFill>
              <a:effectLst/>
              <a:latin typeface="+mn-lt"/>
              <a:ea typeface="+mn-ea"/>
              <a:cs typeface="+mn-cs"/>
            </a:rPr>
            <a:t>29 March 2017)</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The survey by Haas et al 2016 suggests an average of around 26 minutes (see sheet 'Average time Haas et al').</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We have used the rough average of 35 and 26 mins</a:t>
          </a:r>
        </a:p>
        <a:p>
          <a:endParaRPr lang="en-AU" sz="1100" baseline="0">
            <a:solidFill>
              <a:schemeClr val="dk1"/>
            </a:solidFill>
            <a:effectLst/>
            <a:latin typeface="+mn-lt"/>
            <a:ea typeface="+mn-ea"/>
            <a:cs typeface="+mn-cs"/>
          </a:endParaRPr>
        </a:p>
        <a:p>
          <a:r>
            <a:rPr lang="en-AU" sz="1100" baseline="0"/>
            <a:t>In the US, there is some evidence that the average wait time was 25 minutes, but this may not be applicable in Australia (Anderson et al. 2007 'Willing to Wait ...").</a:t>
          </a:r>
        </a:p>
        <a:p>
          <a:endParaRPr lang="en-AU" sz="1100" baseline="0"/>
        </a:p>
        <a:p>
          <a:endParaRPr lang="en-AU" sz="1100"/>
        </a:p>
      </xdr:txBody>
    </xdr:sp>
    <xdr:clientData/>
  </xdr:twoCellAnchor>
  <xdr:twoCellAnchor>
    <xdr:from>
      <xdr:col>0</xdr:col>
      <xdr:colOff>152400</xdr:colOff>
      <xdr:row>74</xdr:row>
      <xdr:rowOff>30480</xdr:rowOff>
    </xdr:from>
    <xdr:to>
      <xdr:col>4</xdr:col>
      <xdr:colOff>7620</xdr:colOff>
      <xdr:row>107</xdr:row>
      <xdr:rowOff>6350</xdr:rowOff>
    </xdr:to>
    <xdr:sp macro="" textlink="">
      <xdr:nvSpPr>
        <xdr:cNvPr id="4" name="TextBox 3"/>
        <xdr:cNvSpPr txBox="1"/>
      </xdr:nvSpPr>
      <xdr:spPr>
        <a:xfrm>
          <a:off x="152400" y="12654280"/>
          <a:ext cx="2522220" cy="5843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Evidence</a:t>
          </a:r>
          <a:r>
            <a:rPr lang="en-AU" sz="1100" baseline="0"/>
            <a:t> for (a)</a:t>
          </a:r>
        </a:p>
        <a:p>
          <a:endParaRPr lang="en-AU" sz="1100" baseline="0"/>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In the US, Ray et al 2015 found average to and fro travel times of 37 minutes, but the US populations are much less concentrated in large cities than Australia, and so this could be likely to undrestimate travel times in Australia. In addition, people must park if driving and then travel from the parking bay to the practice. (source: </a:t>
          </a:r>
          <a:r>
            <a:rPr lang="en-AU" sz="1100">
              <a:solidFill>
                <a:schemeClr val="dk1"/>
              </a:solidFill>
              <a:effectLst/>
              <a:latin typeface="+mn-lt"/>
              <a:ea typeface="+mn-ea"/>
              <a:cs typeface="+mn-cs"/>
            </a:rPr>
            <a:t>Ray, K., Chari, A., Engberg, J., Bertolet, M. and Mehrotra, A. 2015, ‘Disparities in time spent seeking medical care in the united states’, </a:t>
          </a:r>
          <a:r>
            <a:rPr lang="en-AU" sz="1100" i="1">
              <a:solidFill>
                <a:schemeClr val="dk1"/>
              </a:solidFill>
              <a:effectLst/>
              <a:latin typeface="+mn-lt"/>
              <a:ea typeface="+mn-ea"/>
              <a:cs typeface="+mn-cs"/>
            </a:rPr>
            <a:t>JAMA Internal Medicine</a:t>
          </a:r>
          <a:r>
            <a:rPr lang="en-AU" sz="1100">
              <a:solidFill>
                <a:schemeClr val="dk1"/>
              </a:solidFill>
              <a:effectLst/>
              <a:latin typeface="+mn-lt"/>
              <a:ea typeface="+mn-ea"/>
              <a:cs typeface="+mn-cs"/>
            </a:rPr>
            <a:t>, vol. 175, no. 12, pp. 1983–1986.</a:t>
          </a:r>
          <a:r>
            <a:rPr lang="en-AU" sz="1100" baseline="0"/>
            <a:t>)</a:t>
          </a:r>
        </a:p>
        <a:p>
          <a:endParaRPr lang="en-AU" sz="1100" baseline="0"/>
        </a:p>
        <a:p>
          <a:r>
            <a:rPr lang="en-AU" sz="1100" baseline="0"/>
            <a:t>On the other hand, average daily commuting times (to and back) in Sydney to work were 70 minutes in 2012-13. Average to and fro trips for personal business were 40 minutes. (personal business included a visist to the doctor or a library, butnot shopping). Source is Bureau of Transport Statistics, 2014, Household Travel Survey Report, Sydney 2012-13.</a:t>
          </a:r>
        </a:p>
        <a:p>
          <a:endParaRPr lang="en-AU" sz="1100" baseline="0"/>
        </a:p>
        <a:p>
          <a:r>
            <a:rPr lang="en-AU" sz="1100" baseline="0"/>
            <a:t> It is likely that other states have lower rates. Moreover, travel times depend on the location of the practice and whether (1) people tend to travel from work or home to see a practice and (2) the practice location (near home, near work or elsewhere). We have used 30 minutes.</a:t>
          </a:r>
        </a:p>
        <a:p>
          <a:endParaRPr lang="en-AU" sz="1100" baseline="0"/>
        </a:p>
        <a:p>
          <a:r>
            <a:rPr lang="en-AU" sz="1100"/>
            <a:t>Evidence</a:t>
          </a:r>
          <a:r>
            <a:rPr lang="en-AU" sz="1100" baseline="0"/>
            <a:t> for (b)</a:t>
          </a:r>
        </a:p>
        <a:p>
          <a:endParaRPr lang="en-AU" sz="1100" baseline="0"/>
        </a:p>
        <a:p>
          <a:r>
            <a:rPr lang="en-AU" sz="1100"/>
            <a:t>50% was cited by Griffith, C. 2016, 'GP2U: Smartphone app brings doctor to your phone', </a:t>
          </a:r>
          <a:r>
            <a:rPr lang="en-AU" sz="1100" i="1"/>
            <a:t>The Australian</a:t>
          </a:r>
          <a:r>
            <a:rPr lang="en-AU" sz="1100"/>
            <a:t>, 24 March based on statement by GP2U, but this seems likely to be excessive.</a:t>
          </a:r>
        </a:p>
        <a:p>
          <a:endParaRPr lang="en-AU" sz="1100"/>
        </a:p>
        <a:p>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69850</xdr:rowOff>
    </xdr:from>
    <xdr:to>
      <xdr:col>0</xdr:col>
      <xdr:colOff>908050</xdr:colOff>
      <xdr:row>0</xdr:row>
      <xdr:rowOff>812800</xdr:rowOff>
    </xdr:to>
    <xdr:pic>
      <xdr:nvPicPr>
        <xdr:cNvPr id="2" name="Picture 1" descr="C:\Data\PPW\Prod\ABSLogo.gif"/>
        <xdr:cNvPicPr>
          <a:picLocks noChangeAspect="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69850" y="69850"/>
          <a:ext cx="838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450850</xdr:colOff>
      <xdr:row>5</xdr:row>
      <xdr:rowOff>114300</xdr:rowOff>
    </xdr:from>
    <xdr:ext cx="4399981" cy="2771423"/>
    <xdr:pic>
      <xdr:nvPicPr>
        <xdr:cNvPr id="2" name="Picture 1"/>
        <xdr:cNvPicPr>
          <a:picLocks noChangeAspect="1"/>
        </xdr:cNvPicPr>
      </xdr:nvPicPr>
      <xdr:blipFill>
        <a:blip xmlns:r="http://schemas.openxmlformats.org/officeDocument/2006/relationships" r:embed="rId1"/>
        <a:stretch>
          <a:fillRect/>
        </a:stretch>
      </xdr:blipFill>
      <xdr:spPr>
        <a:xfrm>
          <a:off x="3270250" y="1085850"/>
          <a:ext cx="4399981" cy="277142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10</xdr:col>
      <xdr:colOff>182880</xdr:colOff>
      <xdr:row>27</xdr:row>
      <xdr:rowOff>163830</xdr:rowOff>
    </xdr:from>
    <xdr:to>
      <xdr:col>14</xdr:col>
      <xdr:colOff>164640</xdr:colOff>
      <xdr:row>41</xdr:row>
      <xdr:rowOff>156870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semphn.org.au/resources/pathways.html" TargetMode="External"/><Relationship Id="rId1" Type="http://schemas.openxmlformats.org/officeDocument/2006/relationships/hyperlink" Target="http://www.healthpathwayscommunity.or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hyperlink" Target="http://www.abs.gov.au/websitedbs/d3310114.nsf/Home/&#169;+Copyright?OpenDocument"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25"/>
  <sheetViews>
    <sheetView tabSelected="1" workbookViewId="0">
      <selection activeCell="F5" sqref="F5"/>
    </sheetView>
  </sheetViews>
  <sheetFormatPr defaultRowHeight="14.6"/>
  <cols>
    <col min="1" max="1" width="8.69140625" style="341"/>
  </cols>
  <sheetData>
    <row r="1" spans="1:1" ht="20.149999999999999">
      <c r="A1" s="74" t="s">
        <v>1105</v>
      </c>
    </row>
    <row r="3" spans="1:1" ht="17.600000000000001">
      <c r="A3" s="404" t="s">
        <v>806</v>
      </c>
    </row>
    <row r="4" spans="1:1" ht="17.600000000000001">
      <c r="A4" s="405" t="s">
        <v>807</v>
      </c>
    </row>
    <row r="5" spans="1:1">
      <c r="A5" s="391" t="s">
        <v>809</v>
      </c>
    </row>
    <row r="6" spans="1:1">
      <c r="A6" s="391" t="s">
        <v>1087</v>
      </c>
    </row>
    <row r="7" spans="1:1">
      <c r="A7" s="391" t="s">
        <v>1088</v>
      </c>
    </row>
    <row r="8" spans="1:1">
      <c r="A8" s="391" t="s">
        <v>808</v>
      </c>
    </row>
    <row r="9" spans="1:1" s="161" customFormat="1">
      <c r="A9" s="391" t="s">
        <v>1089</v>
      </c>
    </row>
    <row r="10" spans="1:1">
      <c r="A10" s="391" t="s">
        <v>984</v>
      </c>
    </row>
    <row r="11" spans="1:1" ht="17.600000000000001">
      <c r="A11" s="405" t="s">
        <v>810</v>
      </c>
    </row>
    <row r="12" spans="1:1">
      <c r="A12" s="391" t="s">
        <v>811</v>
      </c>
    </row>
    <row r="13" spans="1:1">
      <c r="A13" s="391" t="s">
        <v>985</v>
      </c>
    </row>
    <row r="14" spans="1:1" s="161" customFormat="1">
      <c r="A14" s="391" t="s">
        <v>986</v>
      </c>
    </row>
    <row r="15" spans="1:1">
      <c r="A15" s="391" t="s">
        <v>812</v>
      </c>
    </row>
    <row r="16" spans="1:1">
      <c r="A16" s="391" t="s">
        <v>813</v>
      </c>
    </row>
    <row r="17" spans="1:1">
      <c r="A17" s="391" t="s">
        <v>814</v>
      </c>
    </row>
    <row r="18" spans="1:1">
      <c r="A18" s="391" t="s">
        <v>815</v>
      </c>
    </row>
    <row r="19" spans="1:1">
      <c r="A19" s="391" t="s">
        <v>816</v>
      </c>
    </row>
    <row r="20" spans="1:1">
      <c r="A20" s="391" t="s">
        <v>817</v>
      </c>
    </row>
    <row r="21" spans="1:1">
      <c r="A21" s="391" t="s">
        <v>818</v>
      </c>
    </row>
    <row r="22" spans="1:1">
      <c r="A22" s="391" t="s">
        <v>1090</v>
      </c>
    </row>
    <row r="23" spans="1:1">
      <c r="A23" s="391" t="s">
        <v>1092</v>
      </c>
    </row>
    <row r="24" spans="1:1">
      <c r="A24" s="391" t="s">
        <v>1091</v>
      </c>
    </row>
    <row r="25" spans="1:1">
      <c r="A25" s="391" t="s">
        <v>1093</v>
      </c>
    </row>
  </sheetData>
  <hyperlinks>
    <hyperlink ref="A3" location="'Tables reported in Inquiry'!A1" display="Tables reported in inquiry"/>
    <hyperlink ref="A6" location="'Main calculations'!A1" display=" Main calculations"/>
    <hyperlink ref="A8" location="'Inputs into calculations'!A1" display=" Inputs into calculations"/>
    <hyperlink ref="A5" location="'NPV calculations'!A1" display=" Net Present Value calculations"/>
    <hyperlink ref="A7" location="'Sensitivity calculations'!A1" display=" Sensitivity calculations"/>
    <hyperlink ref="A10" location="'for SP 5 Appendix B'!A1" display=" for SP 5 Appendix B"/>
    <hyperlink ref="A12" location="'AIHW Hospital resources'!A1" display=" AIHW Hospital resources"/>
    <hyperlink ref="A13" location="'AIHW Health spending &amp; PC ests'!A1" display=" AIHW Health spending &amp; related PC estimates"/>
    <hyperlink ref="A15" location="'ABS CPI'!A1" display=" ABS CPI"/>
    <hyperlink ref="A16" location="'ABS earnings'!A1" display=" ABS earnings"/>
    <hyperlink ref="A17" location="'ABS Average weekly hours'!A1" display=" ABS average weekly hours"/>
    <hyperlink ref="A18" location="'ABS demographic'!A1" display=" ABS demographic"/>
    <hyperlink ref="A19" location="'ABS Time use'!A1" display=" ABS Time use"/>
    <hyperlink ref="A20" location="'ABS occ wage'!A1" display=" ABS occupational wage"/>
    <hyperlink ref="A21" location="'ABS Leave entitlement'!A1" display=" ABS Leave entitlement"/>
    <hyperlink ref="A14" location="'ABS Health Survey'!A1" display="ABS Health Survey"/>
    <hyperlink ref="A9" location="'Inputs into time calculations'!A1" display=" Inputs into patient time calculations"/>
    <hyperlink ref="A22" location="'Average time Haas et al'!A1" display=" Average time Haas et al. 2016"/>
    <hyperlink ref="A23" location="'Medicare data'!A1" display=" Medicare data for waiting times in GP and specialist waiting rooms"/>
    <hyperlink ref="A24" location="'BEACH&amp;ABS'!A1" display=" BEACH &amp; ABS data for GP and specialist attendance"/>
    <hyperlink ref="A25" location="'ABS Hours worked by age group'!A1" display=" ABS hours worked by age group"/>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O152"/>
  <sheetViews>
    <sheetView zoomScaleNormal="100" workbookViewId="0">
      <pane xSplit="2" ySplit="2" topLeftCell="C3" activePane="bottomRight" state="frozen"/>
      <selection pane="topRight" activeCell="C1" sqref="C1"/>
      <selection pane="bottomLeft" activeCell="A2" sqref="A2"/>
      <selection pane="bottomRight" activeCell="A2" sqref="A2"/>
    </sheetView>
  </sheetViews>
  <sheetFormatPr defaultRowHeight="14.6"/>
  <cols>
    <col min="1" max="1" width="50.69140625" customWidth="1"/>
    <col min="2" max="2" width="5.3046875" style="10" customWidth="1"/>
    <col min="3" max="4" width="12.69140625" style="10" customWidth="1"/>
    <col min="5" max="6" width="12.69140625" customWidth="1"/>
    <col min="7" max="7" width="12" bestFit="1" customWidth="1"/>
    <col min="8" max="8" width="10.69140625" customWidth="1"/>
    <col min="9" max="9" width="1.84375" customWidth="1"/>
    <col min="10" max="10" width="12" style="10" customWidth="1"/>
    <col min="12" max="12" width="8.69140625" style="10"/>
  </cols>
  <sheetData>
    <row r="1" spans="1:11" s="161" customFormat="1" ht="20.149999999999999">
      <c r="A1" s="74" t="s">
        <v>725</v>
      </c>
    </row>
    <row r="2" spans="1:11" s="161" customFormat="1">
      <c r="A2" s="9" t="s">
        <v>820</v>
      </c>
    </row>
    <row r="3" spans="1:11" s="161" customFormat="1" ht="20.149999999999999">
      <c r="A3" s="74"/>
    </row>
    <row r="4" spans="1:11" s="161" customFormat="1" ht="15.45">
      <c r="A4" s="93" t="s">
        <v>976</v>
      </c>
    </row>
    <row r="5" spans="1:11" s="161" customFormat="1">
      <c r="A5" s="27" t="s">
        <v>89</v>
      </c>
      <c r="B5" s="27">
        <v>2.2000000000000002</v>
      </c>
      <c r="C5" s="27" t="s">
        <v>577</v>
      </c>
    </row>
    <row r="6" spans="1:11" s="161" customFormat="1">
      <c r="A6" s="27"/>
      <c r="B6" s="27"/>
      <c r="C6" s="27" t="s">
        <v>578</v>
      </c>
    </row>
    <row r="7" spans="1:11" s="161" customFormat="1" ht="15" thickBot="1">
      <c r="C7" s="38"/>
      <c r="D7" s="38"/>
      <c r="E7"/>
      <c r="F7"/>
      <c r="G7"/>
      <c r="H7"/>
      <c r="I7"/>
      <c r="J7"/>
    </row>
    <row r="8" spans="1:11" s="161" customFormat="1" ht="15" thickBot="1">
      <c r="A8" s="14"/>
      <c r="B8" s="14" t="s">
        <v>91</v>
      </c>
      <c r="C8" s="15" t="s">
        <v>579</v>
      </c>
      <c r="D8" s="15" t="s">
        <v>580</v>
      </c>
      <c r="E8"/>
      <c r="G8"/>
      <c r="H8"/>
      <c r="I8"/>
      <c r="J8"/>
    </row>
    <row r="9" spans="1:11" s="161" customFormat="1">
      <c r="A9" s="191" t="s">
        <v>581</v>
      </c>
      <c r="B9" s="237" t="s">
        <v>15</v>
      </c>
      <c r="C9" s="37">
        <f>ROUND('Main calculations'!L8,-2)</f>
        <v>100</v>
      </c>
      <c r="D9" s="53">
        <f>ROUND('Main calculations'!AA8,-2)</f>
        <v>300</v>
      </c>
      <c r="E9"/>
      <c r="G9"/>
      <c r="H9"/>
      <c r="I9"/>
      <c r="J9"/>
    </row>
    <row r="10" spans="1:11" s="161" customFormat="1">
      <c r="A10" s="191" t="s">
        <v>582</v>
      </c>
      <c r="B10" s="237" t="s">
        <v>15</v>
      </c>
      <c r="C10" s="37">
        <f>ROUND('Main calculations'!L9,-2)</f>
        <v>200</v>
      </c>
      <c r="D10" s="53">
        <f>ROUND('Main calculations'!AA9,-2)</f>
        <v>600</v>
      </c>
    </row>
    <row r="11" spans="1:11" s="161" customFormat="1">
      <c r="A11" s="191" t="s">
        <v>583</v>
      </c>
      <c r="B11" s="237" t="s">
        <v>15</v>
      </c>
      <c r="C11" s="37">
        <f>ROUND('Main calculations'!L10,-2)</f>
        <v>400</v>
      </c>
      <c r="D11" s="37">
        <f>ROUND('Main calculations'!AA10,-2)</f>
        <v>4200</v>
      </c>
      <c r="E11"/>
      <c r="F11"/>
      <c r="G11"/>
      <c r="H11"/>
      <c r="I11"/>
      <c r="J11"/>
    </row>
    <row r="12" spans="1:11" s="161" customFormat="1">
      <c r="A12" s="191" t="s">
        <v>83</v>
      </c>
      <c r="B12" s="237" t="s">
        <v>15</v>
      </c>
      <c r="C12" s="37">
        <f>ROUND('Main calculations'!L11,-2)</f>
        <v>7900</v>
      </c>
      <c r="D12" s="37">
        <f>ROUND('Main calculations'!AA11,-2)</f>
        <v>33400</v>
      </c>
      <c r="E12"/>
      <c r="F12"/>
      <c r="G12"/>
      <c r="H12"/>
      <c r="I12"/>
      <c r="J12"/>
    </row>
    <row r="13" spans="1:11" s="161" customFormat="1">
      <c r="A13" s="241" t="s">
        <v>584</v>
      </c>
      <c r="B13" s="345" t="s">
        <v>15</v>
      </c>
      <c r="C13" s="335">
        <f>ROUND('Main calculations'!L13,-2)</f>
        <v>8500</v>
      </c>
      <c r="D13" s="335">
        <f>ROUND('Main calculations'!AA13,-2)</f>
        <v>38500</v>
      </c>
    </row>
    <row r="14" spans="1:11" s="161" customFormat="1" ht="15" thickBot="1">
      <c r="A14" s="346" t="s">
        <v>585</v>
      </c>
      <c r="B14" s="347" t="s">
        <v>7</v>
      </c>
      <c r="C14" s="390">
        <f>'Main calculations'!L12</f>
        <v>3.0339846717890993</v>
      </c>
      <c r="D14" s="390">
        <f>'Main calculations'!AA12</f>
        <v>6.4871407656641304</v>
      </c>
      <c r="E14"/>
      <c r="F14"/>
      <c r="G14"/>
      <c r="H14"/>
      <c r="I14"/>
      <c r="J14"/>
    </row>
    <row r="15" spans="1:11" s="161" customFormat="1">
      <c r="A15" s="26" t="s">
        <v>643</v>
      </c>
      <c r="B15" s="337"/>
      <c r="C15" s="37"/>
    </row>
    <row r="16" spans="1:11">
      <c r="D16" s="161"/>
      <c r="E16" s="161"/>
      <c r="F16" s="161"/>
      <c r="G16" s="161"/>
      <c r="I16" s="161"/>
      <c r="J16" s="161"/>
      <c r="K16" s="161"/>
    </row>
    <row r="17" spans="1:12" s="161" customFormat="1">
      <c r="A17" s="191"/>
      <c r="B17" s="192"/>
      <c r="C17" s="192"/>
      <c r="D17" s="192"/>
      <c r="E17" s="73"/>
      <c r="F17" s="73"/>
      <c r="G17" s="73"/>
      <c r="H17" s="73"/>
      <c r="I17" s="73"/>
      <c r="J17" s="73"/>
      <c r="K17" s="73"/>
      <c r="L17" s="73"/>
    </row>
    <row r="18" spans="1:12" s="161" customFormat="1" ht="15.45">
      <c r="A18" s="93" t="s">
        <v>977</v>
      </c>
    </row>
    <row r="19" spans="1:12" s="161" customFormat="1">
      <c r="A19" s="27" t="s">
        <v>89</v>
      </c>
      <c r="B19" s="27">
        <v>2</v>
      </c>
      <c r="C19" s="27" t="s">
        <v>516</v>
      </c>
      <c r="E19" s="4"/>
    </row>
    <row r="20" spans="1:12" s="161" customFormat="1">
      <c r="A20" s="27"/>
      <c r="B20" s="27"/>
      <c r="C20" s="27" t="s">
        <v>578</v>
      </c>
    </row>
    <row r="21" spans="1:12" s="161" customFormat="1" ht="15" thickBot="1">
      <c r="I21"/>
      <c r="J21"/>
      <c r="K21"/>
      <c r="L21"/>
    </row>
    <row r="22" spans="1:12" s="161" customFormat="1" ht="23.6" thickBot="1">
      <c r="A22" s="14"/>
      <c r="B22" s="15"/>
      <c r="C22" s="15" t="s">
        <v>517</v>
      </c>
      <c r="I22"/>
      <c r="J22"/>
      <c r="K22"/>
      <c r="L22"/>
    </row>
    <row r="23" spans="1:12" s="161" customFormat="1">
      <c r="A23" s="164" t="s">
        <v>94</v>
      </c>
      <c r="B23" s="71"/>
      <c r="C23" s="71" t="s">
        <v>15</v>
      </c>
      <c r="I23"/>
      <c r="J23"/>
      <c r="K23"/>
      <c r="L23"/>
    </row>
    <row r="24" spans="1:12" s="161" customFormat="1">
      <c r="A24" s="162" t="s">
        <v>518</v>
      </c>
      <c r="B24" s="24"/>
      <c r="C24" s="37">
        <f>ROUND('Main calculations'!AC19,-3)</f>
        <v>17000</v>
      </c>
      <c r="I24"/>
      <c r="J24"/>
      <c r="K24"/>
      <c r="L24"/>
    </row>
    <row r="25" spans="1:12" s="161" customFormat="1">
      <c r="A25" s="162" t="s">
        <v>601</v>
      </c>
      <c r="B25" s="24"/>
      <c r="C25" s="37">
        <f>ROUND('Main calculations'!AC31,-3)</f>
        <v>91000</v>
      </c>
      <c r="I25"/>
      <c r="J25"/>
      <c r="K25"/>
      <c r="L25"/>
    </row>
    <row r="26" spans="1:12" s="161" customFormat="1">
      <c r="A26" s="336" t="s">
        <v>602</v>
      </c>
      <c r="B26" s="186"/>
      <c r="C26" s="37">
        <f>ROUND('Main calculations'!AC44,-3)</f>
        <v>2000</v>
      </c>
      <c r="I26"/>
      <c r="J26"/>
      <c r="K26"/>
      <c r="L26"/>
    </row>
    <row r="27" spans="1:12" s="161" customFormat="1">
      <c r="A27" s="162" t="s">
        <v>603</v>
      </c>
      <c r="B27" s="163"/>
      <c r="C27" s="37">
        <f>ROUND('Main calculations'!AC46,-3)</f>
        <v>23000</v>
      </c>
      <c r="I27"/>
      <c r="J27"/>
      <c r="K27"/>
      <c r="L27"/>
    </row>
    <row r="28" spans="1:12" s="161" customFormat="1">
      <c r="A28" s="162" t="s">
        <v>604</v>
      </c>
      <c r="B28" s="163"/>
      <c r="C28" s="37">
        <f>ROUND('Main calculations'!AC49,-3)</f>
        <v>10000</v>
      </c>
      <c r="I28"/>
      <c r="J28"/>
      <c r="K28"/>
      <c r="L28"/>
    </row>
    <row r="29" spans="1:12" s="161" customFormat="1" ht="15" thickBot="1">
      <c r="A29" s="195" t="s">
        <v>11</v>
      </c>
      <c r="B29" s="196"/>
      <c r="C29" s="200">
        <f>ROUND('Main calculations'!AC51,-3)</f>
        <v>144000</v>
      </c>
    </row>
    <row r="30" spans="1:12" s="161" customFormat="1">
      <c r="A30" s="26" t="s">
        <v>643</v>
      </c>
      <c r="B30" s="337"/>
      <c r="C30" s="37"/>
    </row>
    <row r="31" spans="1:12" s="161" customFormat="1">
      <c r="A31" s="241"/>
      <c r="B31" s="242"/>
      <c r="C31" s="335"/>
    </row>
    <row r="32" spans="1:12" s="161" customFormat="1">
      <c r="A32" s="162"/>
      <c r="B32" s="163"/>
      <c r="C32" s="163"/>
      <c r="D32" s="163"/>
      <c r="I32"/>
      <c r="J32"/>
      <c r="K32"/>
      <c r="L32"/>
    </row>
    <row r="33" spans="1:12" s="161" customFormat="1">
      <c r="A33" s="27" t="s">
        <v>89</v>
      </c>
      <c r="B33" s="27">
        <v>3</v>
      </c>
      <c r="C33" s="27" t="s">
        <v>586</v>
      </c>
    </row>
    <row r="34" spans="1:12" s="161" customFormat="1">
      <c r="A34" s="27"/>
      <c r="B34" s="27"/>
      <c r="C34" s="27" t="s">
        <v>578</v>
      </c>
    </row>
    <row r="35" spans="1:12" s="161" customFormat="1" ht="15" thickBot="1">
      <c r="C35" s="38"/>
      <c r="D35" s="38"/>
    </row>
    <row r="36" spans="1:12" s="161" customFormat="1" ht="15" thickBot="1">
      <c r="A36" s="14"/>
      <c r="B36" s="14" t="s">
        <v>91</v>
      </c>
      <c r="C36" s="15">
        <v>2020</v>
      </c>
      <c r="D36" s="15">
        <v>2025</v>
      </c>
      <c r="E36" s="15">
        <v>2030</v>
      </c>
      <c r="F36" s="15">
        <v>2040</v>
      </c>
    </row>
    <row r="37" spans="1:12" s="161" customFormat="1">
      <c r="A37" s="191" t="s">
        <v>88</v>
      </c>
      <c r="B37" s="239" t="s">
        <v>7</v>
      </c>
      <c r="C37" s="35">
        <f>'Main calculations'!G59</f>
        <v>2.25</v>
      </c>
      <c r="D37" s="35">
        <f>'Main calculations'!L59</f>
        <v>11.25</v>
      </c>
      <c r="E37" s="35">
        <f>'Main calculations'!Q59</f>
        <v>18.750000000000004</v>
      </c>
      <c r="F37" s="35">
        <f>'Main calculations'!AA59</f>
        <v>29.65</v>
      </c>
    </row>
    <row r="38" spans="1:12" s="161" customFormat="1">
      <c r="A38" s="191" t="s">
        <v>587</v>
      </c>
      <c r="B38" s="237" t="s">
        <v>15</v>
      </c>
      <c r="C38" s="35">
        <f>'Main calculations'!G8</f>
        <v>13.741667638049677</v>
      </c>
      <c r="D38" s="35">
        <f>'Main calculations'!L8</f>
        <v>76.232147643786604</v>
      </c>
      <c r="E38" s="35">
        <f>'Main calculations'!Q8</f>
        <v>140.96640202757982</v>
      </c>
      <c r="F38" s="35">
        <f>'Main calculations'!AA8</f>
        <v>274.40780610302079</v>
      </c>
    </row>
    <row r="39" spans="1:12" s="161" customFormat="1">
      <c r="A39" s="191" t="s">
        <v>582</v>
      </c>
      <c r="B39" s="237" t="s">
        <v>15</v>
      </c>
      <c r="C39" s="35">
        <f>'Main calculations'!G9</f>
        <v>29.250661912830353</v>
      </c>
      <c r="D39" s="35">
        <f>'Main calculations'!L9</f>
        <v>162.26857149732695</v>
      </c>
      <c r="E39" s="35">
        <f>'Main calculations'!Q9</f>
        <v>300.06260341791221</v>
      </c>
      <c r="F39" s="35">
        <f>'Main calculations'!AA9</f>
        <v>584.10741505171234</v>
      </c>
    </row>
    <row r="40" spans="1:12" s="161" customFormat="1">
      <c r="A40" s="191" t="s">
        <v>84</v>
      </c>
      <c r="B40" s="237" t="s">
        <v>15</v>
      </c>
      <c r="C40" s="35">
        <f>'Main calculations'!G10</f>
        <v>16.359085656114715</v>
      </c>
      <c r="D40" s="35">
        <f>'Main calculations'!L10</f>
        <v>397.23492909009713</v>
      </c>
      <c r="E40" s="37">
        <f>'Main calculations'!Q10</f>
        <v>1455.2057476823118</v>
      </c>
      <c r="F40" s="37">
        <f>'Main calculations'!AA10</f>
        <v>4170.3985298763246</v>
      </c>
    </row>
    <row r="41" spans="1:12" s="161" customFormat="1" ht="15" thickBot="1">
      <c r="A41" s="195" t="s">
        <v>83</v>
      </c>
      <c r="B41" s="238" t="s">
        <v>15</v>
      </c>
      <c r="C41" s="200">
        <f>'Main calculations'!G11</f>
        <v>1825.3499075221159</v>
      </c>
      <c r="D41" s="200">
        <f>'Main calculations'!L11</f>
        <v>7909.4350712492733</v>
      </c>
      <c r="E41" s="200">
        <f>'Main calculations'!Q11</f>
        <v>15133.922005620416</v>
      </c>
      <c r="F41" s="200">
        <f>'Main calculations'!AA11</f>
        <v>33440.58720789745</v>
      </c>
    </row>
    <row r="42" spans="1:12" s="161" customFormat="1">
      <c r="A42" s="26" t="s">
        <v>643</v>
      </c>
      <c r="B42" s="192"/>
      <c r="C42" s="37"/>
    </row>
    <row r="43" spans="1:12" s="161" customFormat="1">
      <c r="A43" s="26"/>
      <c r="B43" s="305"/>
      <c r="C43" s="37"/>
    </row>
    <row r="44" spans="1:12" s="10" customFormat="1">
      <c r="E44" s="161"/>
      <c r="F44" s="161"/>
      <c r="G44" s="161"/>
      <c r="H44" s="161"/>
      <c r="J44" s="161"/>
      <c r="K44" s="161"/>
    </row>
    <row r="45" spans="1:12" s="10" customFormat="1">
      <c r="A45" s="27" t="s">
        <v>89</v>
      </c>
      <c r="B45" s="27">
        <v>4</v>
      </c>
      <c r="C45" s="27" t="s">
        <v>588</v>
      </c>
      <c r="D45" s="3"/>
      <c r="E45" s="3"/>
      <c r="F45" s="3"/>
      <c r="G45" s="3"/>
      <c r="H45" s="3"/>
      <c r="I45" s="3"/>
      <c r="J45" s="3"/>
      <c r="K45" s="3"/>
      <c r="L45"/>
    </row>
    <row r="46" spans="1:12" s="10" customFormat="1" ht="15" thickBot="1">
      <c r="G46"/>
      <c r="H46"/>
      <c r="I46"/>
      <c r="J46"/>
    </row>
    <row r="47" spans="1:12" s="10" customFormat="1" ht="15" thickBot="1">
      <c r="A47" s="14"/>
      <c r="B47" s="14" t="s">
        <v>91</v>
      </c>
      <c r="C47" s="15">
        <v>2020</v>
      </c>
      <c r="D47" s="15">
        <v>2025</v>
      </c>
      <c r="E47" s="15">
        <v>2030</v>
      </c>
      <c r="F47" s="15">
        <v>2040</v>
      </c>
      <c r="G47"/>
      <c r="H47"/>
      <c r="I47"/>
      <c r="J47"/>
    </row>
    <row r="48" spans="1:12" s="10" customFormat="1">
      <c r="A48" s="16" t="s">
        <v>523</v>
      </c>
      <c r="B48" s="237" t="s">
        <v>7</v>
      </c>
      <c r="C48" s="37">
        <f>C49</f>
        <v>2.25</v>
      </c>
      <c r="D48" s="37">
        <f t="shared" ref="D48:F48" si="0">D49</f>
        <v>11.25</v>
      </c>
      <c r="E48" s="37">
        <f t="shared" si="0"/>
        <v>18.750000000000004</v>
      </c>
      <c r="F48" s="37">
        <f t="shared" si="0"/>
        <v>29.65</v>
      </c>
      <c r="G48"/>
      <c r="H48"/>
      <c r="I48"/>
      <c r="J48"/>
    </row>
    <row r="49" spans="1:12" s="161" customFormat="1">
      <c r="A49" s="191" t="s">
        <v>524</v>
      </c>
      <c r="B49" s="237" t="s">
        <v>7</v>
      </c>
      <c r="C49" s="21">
        <f>C50*C51/100</f>
        <v>2.25</v>
      </c>
      <c r="D49" s="21">
        <f>D50*D51/100</f>
        <v>11.25</v>
      </c>
      <c r="E49" s="21">
        <f>E50*E51/100</f>
        <v>18.750000000000004</v>
      </c>
      <c r="F49" s="21">
        <f>F50*F51/100</f>
        <v>29.65</v>
      </c>
    </row>
    <row r="50" spans="1:12" s="10" customFormat="1">
      <c r="A50" s="16" t="s">
        <v>589</v>
      </c>
      <c r="B50" s="239" t="s">
        <v>7</v>
      </c>
      <c r="C50" s="21">
        <f>'Main calculations'!G60</f>
        <v>5</v>
      </c>
      <c r="D50" s="21">
        <f>'Main calculations'!L60</f>
        <v>30</v>
      </c>
      <c r="E50" s="21">
        <f>'Main calculations'!Q60</f>
        <v>55</v>
      </c>
      <c r="F50" s="21">
        <f>'Main calculations'!AA60</f>
        <v>100</v>
      </c>
      <c r="G50"/>
      <c r="H50"/>
      <c r="I50"/>
      <c r="J50"/>
    </row>
    <row r="51" spans="1:12" s="10" customFormat="1" ht="15" thickBot="1">
      <c r="A51" s="18" t="s">
        <v>590</v>
      </c>
      <c r="B51" s="214" t="s">
        <v>7</v>
      </c>
      <c r="C51" s="200">
        <f>'Main calculations'!G61</f>
        <v>45</v>
      </c>
      <c r="D51" s="200">
        <f>'Main calculations'!L61</f>
        <v>37.5</v>
      </c>
      <c r="E51" s="200">
        <f>'Main calculations'!Q61</f>
        <v>34.090909090909093</v>
      </c>
      <c r="F51" s="200">
        <f>'Main calculations'!AA61</f>
        <v>29.65</v>
      </c>
      <c r="G51"/>
      <c r="H51"/>
      <c r="I51"/>
      <c r="J51"/>
    </row>
    <row r="52" spans="1:12" s="10" customFormat="1">
      <c r="A52" s="26" t="s">
        <v>643</v>
      </c>
      <c r="B52" s="19"/>
      <c r="G52"/>
      <c r="H52"/>
      <c r="I52"/>
      <c r="J52"/>
    </row>
    <row r="53" spans="1:12" s="161" customFormat="1">
      <c r="A53" s="26"/>
      <c r="B53" s="19"/>
    </row>
    <row r="54" spans="1:12" s="10" customFormat="1">
      <c r="L54"/>
    </row>
    <row r="55" spans="1:12" s="10" customFormat="1">
      <c r="A55" s="30" t="s">
        <v>139</v>
      </c>
      <c r="B55" s="27">
        <v>5</v>
      </c>
      <c r="C55" s="27" t="s">
        <v>591</v>
      </c>
    </row>
    <row r="56" spans="1:12" s="10" customFormat="1" ht="15" thickBot="1">
      <c r="A56" s="30"/>
    </row>
    <row r="57" spans="1:12" s="10" customFormat="1" ht="58.3" thickBot="1">
      <c r="A57" s="194"/>
      <c r="B57" s="193"/>
      <c r="C57" s="201" t="s">
        <v>140</v>
      </c>
      <c r="D57" s="201" t="s">
        <v>141</v>
      </c>
      <c r="E57" s="201" t="s">
        <v>142</v>
      </c>
      <c r="F57" s="201" t="s">
        <v>592</v>
      </c>
    </row>
    <row r="58" spans="1:12" s="10" customFormat="1" ht="15" thickBot="1">
      <c r="A58" s="195" t="s">
        <v>593</v>
      </c>
      <c r="B58" s="217" t="s">
        <v>7</v>
      </c>
      <c r="C58" s="196">
        <f t="array" ref="C58:F58">TRANSPOSE('Main calculations'!Z62:Z65)</f>
        <v>45</v>
      </c>
      <c r="D58" s="196">
        <v>40</v>
      </c>
      <c r="E58" s="196">
        <v>30</v>
      </c>
      <c r="F58" s="196">
        <v>17</v>
      </c>
    </row>
    <row r="59" spans="1:12" s="161" customFormat="1">
      <c r="A59" s="241"/>
      <c r="B59" s="241"/>
      <c r="C59" s="242"/>
      <c r="D59" s="242"/>
      <c r="E59" s="242"/>
      <c r="F59" s="242"/>
    </row>
    <row r="60" spans="1:12" s="10" customFormat="1">
      <c r="A60" s="30"/>
    </row>
    <row r="61" spans="1:12" s="27" customFormat="1" ht="11.6">
      <c r="A61" s="27" t="s">
        <v>89</v>
      </c>
      <c r="B61" s="27">
        <v>6</v>
      </c>
      <c r="C61" s="27" t="s">
        <v>134</v>
      </c>
    </row>
    <row r="62" spans="1:12" s="27" customFormat="1" ht="11.6">
      <c r="C62" s="27" t="s">
        <v>578</v>
      </c>
    </row>
    <row r="63" spans="1:12" s="161" customFormat="1" ht="15" thickBot="1"/>
    <row r="64" spans="1:12" s="161" customFormat="1" ht="58.3" thickBot="1">
      <c r="A64" s="14"/>
      <c r="B64" s="14" t="s">
        <v>94</v>
      </c>
      <c r="C64" s="202" t="s">
        <v>124</v>
      </c>
      <c r="D64" s="202" t="s">
        <v>125</v>
      </c>
      <c r="E64" s="202" t="s">
        <v>126</v>
      </c>
      <c r="F64" s="202" t="s">
        <v>822</v>
      </c>
      <c r="G64" s="202" t="s">
        <v>823</v>
      </c>
      <c r="J64" s="4"/>
    </row>
    <row r="65" spans="1:11" s="161" customFormat="1" ht="23.15">
      <c r="A65" s="459" t="s">
        <v>596</v>
      </c>
      <c r="B65" s="215"/>
      <c r="C65" s="192" t="s">
        <v>127</v>
      </c>
      <c r="D65" s="192" t="s">
        <v>12</v>
      </c>
      <c r="E65" s="192" t="s">
        <v>130</v>
      </c>
      <c r="F65" s="34" t="s">
        <v>130</v>
      </c>
      <c r="G65" s="192" t="s">
        <v>130</v>
      </c>
      <c r="J65"/>
    </row>
    <row r="66" spans="1:11" s="161" customFormat="1" ht="69.45">
      <c r="A66" s="460"/>
      <c r="B66" s="216"/>
      <c r="C66" s="192" t="s">
        <v>128</v>
      </c>
      <c r="D66" s="192" t="s">
        <v>129</v>
      </c>
      <c r="E66" s="192" t="s">
        <v>131</v>
      </c>
      <c r="F66" s="192" t="s">
        <v>132</v>
      </c>
      <c r="G66" s="192" t="s">
        <v>133</v>
      </c>
      <c r="J66" s="10"/>
    </row>
    <row r="67" spans="1:11" s="161" customFormat="1">
      <c r="A67" s="191" t="s">
        <v>595</v>
      </c>
      <c r="B67" s="216" t="s">
        <v>7</v>
      </c>
      <c r="C67" s="35">
        <f>'Inputs into calculations'!C49</f>
        <v>-16.949152542372879</v>
      </c>
      <c r="D67" s="165">
        <v>-41</v>
      </c>
      <c r="E67" s="35">
        <f>'Inputs into calculations'!C27</f>
        <v>-41.269841269841265</v>
      </c>
      <c r="F67" s="36">
        <f>'Inputs into calculations'!C60</f>
        <v>-44.680851063829785</v>
      </c>
      <c r="G67" s="35">
        <f>'Inputs into calculations'!C37</f>
        <v>-45.714285714285708</v>
      </c>
      <c r="J67" s="9"/>
    </row>
    <row r="68" spans="1:11" s="161" customFormat="1" ht="23.15">
      <c r="A68" s="191" t="s">
        <v>594</v>
      </c>
      <c r="B68" s="216" t="s">
        <v>53</v>
      </c>
      <c r="C68" s="37">
        <f>ROUND('Inputs into calculations'!C107,0)</f>
        <v>845</v>
      </c>
      <c r="D68" s="37">
        <f>ROUND('Inputs into calculations'!C70,0)</f>
        <v>2423</v>
      </c>
      <c r="E68" s="37">
        <f>ROUND('Inputs into calculations'!C88,0)</f>
        <v>1616</v>
      </c>
      <c r="F68" s="37">
        <f>ROUND('Inputs into calculations'!C117,0)</f>
        <v>1101</v>
      </c>
      <c r="G68" s="231" t="s">
        <v>47</v>
      </c>
      <c r="J68"/>
    </row>
    <row r="69" spans="1:11" s="161" customFormat="1" ht="24" customHeight="1" thickBot="1">
      <c r="A69" s="195" t="s">
        <v>54</v>
      </c>
      <c r="B69" s="217" t="s">
        <v>53</v>
      </c>
      <c r="C69" s="200">
        <f>ROUND('Inputs into calculations'!C111,0)</f>
        <v>4303</v>
      </c>
      <c r="D69" s="392" t="s">
        <v>47</v>
      </c>
      <c r="E69" s="392" t="s">
        <v>47</v>
      </c>
      <c r="F69" s="200">
        <f>ROUND('Inputs into calculations'!C118,0)</f>
        <v>11432</v>
      </c>
      <c r="G69" s="200">
        <f>ROUND('Inputs into calculations'!C96,0)</f>
        <v>8432</v>
      </c>
      <c r="J69"/>
    </row>
    <row r="70" spans="1:11" s="161" customFormat="1">
      <c r="A70" s="9" t="s">
        <v>827</v>
      </c>
      <c r="B70" s="19"/>
    </row>
    <row r="71" spans="1:11" s="161" customFormat="1">
      <c r="A71" s="70" t="s">
        <v>210</v>
      </c>
    </row>
    <row r="72" spans="1:11" s="161" customFormat="1">
      <c r="A72" s="70" t="s">
        <v>824</v>
      </c>
    </row>
    <row r="73" spans="1:11" s="161" customFormat="1">
      <c r="A73" s="70" t="s">
        <v>1100</v>
      </c>
    </row>
    <row r="74" spans="1:11" s="161" customFormat="1">
      <c r="A74" s="70" t="s">
        <v>825</v>
      </c>
    </row>
    <row r="75" spans="1:11" s="161" customFormat="1">
      <c r="A75" s="26" t="s">
        <v>826</v>
      </c>
      <c r="B75" s="19"/>
    </row>
    <row r="76" spans="1:11" s="161" customFormat="1">
      <c r="A76" s="26"/>
      <c r="B76" s="19"/>
      <c r="H76"/>
      <c r="I76"/>
    </row>
    <row r="77" spans="1:11" s="161" customFormat="1">
      <c r="H77"/>
      <c r="I77"/>
    </row>
    <row r="78" spans="1:11" s="161" customFormat="1">
      <c r="A78" s="27" t="s">
        <v>89</v>
      </c>
      <c r="B78" s="27">
        <v>7</v>
      </c>
      <c r="C78" s="27" t="s">
        <v>597</v>
      </c>
      <c r="D78" s="3"/>
      <c r="E78" s="3"/>
      <c r="F78" s="3"/>
      <c r="G78" s="3"/>
      <c r="H78"/>
      <c r="I78"/>
      <c r="J78" s="3"/>
      <c r="K78" s="3"/>
    </row>
    <row r="79" spans="1:11" s="161" customFormat="1" ht="15" thickBot="1">
      <c r="C79" s="27" t="s">
        <v>578</v>
      </c>
      <c r="H79"/>
      <c r="I79"/>
    </row>
    <row r="80" spans="1:11" s="161" customFormat="1" ht="15" thickBot="1">
      <c r="A80" s="14"/>
      <c r="B80" s="14" t="s">
        <v>91</v>
      </c>
      <c r="C80" s="15">
        <v>2020</v>
      </c>
      <c r="D80" s="15">
        <v>2025</v>
      </c>
      <c r="E80" s="15">
        <v>2030</v>
      </c>
      <c r="F80" s="15">
        <v>2040</v>
      </c>
      <c r="H80"/>
      <c r="I80"/>
    </row>
    <row r="81" spans="1:11" s="161" customFormat="1">
      <c r="A81" s="191" t="s">
        <v>598</v>
      </c>
      <c r="B81" s="237" t="s">
        <v>15</v>
      </c>
      <c r="C81" s="37">
        <f>'Main calculations'!G72</f>
        <v>3.3131415473564507</v>
      </c>
      <c r="D81" s="37">
        <f>'Main calculations'!L72</f>
        <v>18.379712146690146</v>
      </c>
      <c r="E81" s="37">
        <f>'Main calculations'!Q72</f>
        <v>33.987260908983345</v>
      </c>
      <c r="F81" s="37">
        <f>'Main calculations'!AA72</f>
        <v>66.160230858842468</v>
      </c>
      <c r="H81"/>
      <c r="I81"/>
    </row>
    <row r="82" spans="1:11" s="161" customFormat="1">
      <c r="A82" s="191" t="s">
        <v>599</v>
      </c>
      <c r="B82" s="237" t="s">
        <v>15</v>
      </c>
      <c r="C82" s="21">
        <f>'Main calculations'!G73</f>
        <v>4.9000883319960256</v>
      </c>
      <c r="D82" s="21">
        <f>'Main calculations'!L73</f>
        <v>27.183327892314924</v>
      </c>
      <c r="E82" s="21">
        <f>'Main calculations'!Q73</f>
        <v>50.266666315387695</v>
      </c>
      <c r="F82" s="21">
        <f>'Main calculations'!AA73</f>
        <v>97.850022596302537</v>
      </c>
      <c r="H82"/>
      <c r="I82"/>
    </row>
    <row r="83" spans="1:11" s="161" customFormat="1" ht="15" thickBot="1">
      <c r="A83" s="195" t="s">
        <v>600</v>
      </c>
      <c r="B83" s="238" t="s">
        <v>15</v>
      </c>
      <c r="C83" s="22">
        <f>'Main calculations'!G74</f>
        <v>5.5284377586972004</v>
      </c>
      <c r="D83" s="22">
        <f>'Main calculations'!L74</f>
        <v>30.669107604781534</v>
      </c>
      <c r="E83" s="22">
        <f>'Main calculations'!Q74</f>
        <v>56.712474803208792</v>
      </c>
      <c r="F83" s="22">
        <f>'Main calculations'!AA74</f>
        <v>110.39755264787581</v>
      </c>
      <c r="H83"/>
      <c r="I83"/>
    </row>
    <row r="84" spans="1:11" s="161" customFormat="1">
      <c r="A84" s="26" t="s">
        <v>138</v>
      </c>
      <c r="B84" s="19"/>
      <c r="H84"/>
      <c r="I84"/>
    </row>
    <row r="85" spans="1:11" s="161" customFormat="1">
      <c r="A85" s="26"/>
      <c r="B85" s="19"/>
    </row>
    <row r="86" spans="1:11" s="161" customFormat="1"/>
    <row r="87" spans="1:11" s="161" customFormat="1">
      <c r="A87" s="27" t="s">
        <v>89</v>
      </c>
      <c r="B87" s="27">
        <v>8</v>
      </c>
      <c r="C87" s="27" t="s">
        <v>613</v>
      </c>
      <c r="D87" s="3"/>
      <c r="E87" s="3"/>
      <c r="F87" s="3"/>
      <c r="G87" s="3"/>
      <c r="H87" s="26"/>
      <c r="I87" s="3"/>
      <c r="J87" s="3"/>
      <c r="K87" s="3"/>
    </row>
    <row r="88" spans="1:11" s="161" customFormat="1" ht="15" thickBot="1">
      <c r="C88" s="27" t="s">
        <v>578</v>
      </c>
      <c r="H88" s="27"/>
    </row>
    <row r="89" spans="1:11" s="161" customFormat="1" ht="15" thickBot="1">
      <c r="A89" s="14"/>
      <c r="B89" s="14" t="s">
        <v>91</v>
      </c>
      <c r="C89" s="15">
        <v>2020</v>
      </c>
      <c r="D89" s="15">
        <v>2025</v>
      </c>
      <c r="E89" s="15">
        <v>2030</v>
      </c>
      <c r="F89" s="15">
        <v>2040</v>
      </c>
    </row>
    <row r="90" spans="1:11" s="161" customFormat="1">
      <c r="A90" s="197" t="s">
        <v>582</v>
      </c>
      <c r="B90" s="237" t="s">
        <v>15</v>
      </c>
      <c r="C90" s="37">
        <f>SUM(C91:C92)</f>
        <v>29.250661912830353</v>
      </c>
      <c r="D90" s="37">
        <f t="shared" ref="D90:F90" si="1">SUM(D91:D92)</f>
        <v>162.26857149732695</v>
      </c>
      <c r="E90" s="37">
        <f t="shared" si="1"/>
        <v>300.06260341791221</v>
      </c>
      <c r="F90" s="37">
        <f t="shared" si="1"/>
        <v>584.10741505171234</v>
      </c>
    </row>
    <row r="91" spans="1:11" s="161" customFormat="1">
      <c r="A91" s="197" t="s">
        <v>614</v>
      </c>
      <c r="B91" s="237" t="s">
        <v>15</v>
      </c>
      <c r="C91" s="21">
        <f>'Main calculations'!G114</f>
        <v>21.645484593867565</v>
      </c>
      <c r="D91" s="21">
        <f>'Main calculations'!L114</f>
        <v>120.07871394095311</v>
      </c>
      <c r="E91" s="21">
        <f>'Main calculations'!Q114</f>
        <v>222.04627296414378</v>
      </c>
      <c r="F91" s="21">
        <f>'Main calculations'!AA114</f>
        <v>432.23938286743055</v>
      </c>
    </row>
    <row r="92" spans="1:11" s="161" customFormat="1" ht="15" thickBot="1">
      <c r="A92" s="199" t="s">
        <v>615</v>
      </c>
      <c r="B92" s="238" t="s">
        <v>15</v>
      </c>
      <c r="C92" s="22">
        <f>'Main calculations'!G118</f>
        <v>7.6051773189627863</v>
      </c>
      <c r="D92" s="22">
        <f>'Main calculations'!L118</f>
        <v>42.189857556373852</v>
      </c>
      <c r="E92" s="22">
        <f>'Main calculations'!Q118</f>
        <v>78.016330453768447</v>
      </c>
      <c r="F92" s="22">
        <f>'Main calculations'!AA118</f>
        <v>151.86803218428176</v>
      </c>
    </row>
    <row r="93" spans="1:11" s="161" customFormat="1">
      <c r="A93" s="26" t="s">
        <v>643</v>
      </c>
      <c r="B93" s="19"/>
    </row>
    <row r="94" spans="1:11" s="161" customFormat="1">
      <c r="A94" s="26"/>
      <c r="B94" s="19"/>
    </row>
    <row r="95" spans="1:11" s="161" customFormat="1"/>
    <row r="96" spans="1:11">
      <c r="A96" s="27" t="s">
        <v>89</v>
      </c>
      <c r="B96" s="27">
        <v>9</v>
      </c>
      <c r="C96" s="27" t="s">
        <v>620</v>
      </c>
      <c r="D96" s="161"/>
      <c r="F96" s="161"/>
      <c r="G96" s="161"/>
      <c r="H96" s="161"/>
      <c r="I96" s="161"/>
      <c r="K96" s="10"/>
    </row>
    <row r="97" spans="1:12" ht="15" thickBot="1">
      <c r="A97" s="27"/>
      <c r="B97" s="27"/>
      <c r="C97" s="27" t="s">
        <v>578</v>
      </c>
      <c r="D97" s="161"/>
      <c r="F97" s="161"/>
      <c r="G97" s="161"/>
      <c r="H97" s="161"/>
      <c r="I97" s="161"/>
      <c r="K97" s="10"/>
    </row>
    <row r="98" spans="1:12" ht="15" thickBot="1">
      <c r="A98" s="14"/>
      <c r="B98" s="14" t="s">
        <v>91</v>
      </c>
      <c r="C98" s="15">
        <v>2020</v>
      </c>
      <c r="D98" s="15">
        <v>2025</v>
      </c>
      <c r="E98" s="15">
        <v>2030</v>
      </c>
      <c r="F98" s="15">
        <v>2040</v>
      </c>
      <c r="J98"/>
      <c r="L98"/>
    </row>
    <row r="99" spans="1:12" s="161" customFormat="1">
      <c r="A99" s="97" t="s">
        <v>616</v>
      </c>
      <c r="B99" s="216" t="s">
        <v>15</v>
      </c>
      <c r="C99" s="21">
        <f>C101+C103</f>
        <v>16.359085656114715</v>
      </c>
      <c r="D99" s="21">
        <f t="shared" ref="D99:F99" si="2">D101+D103</f>
        <v>397.23492909009713</v>
      </c>
      <c r="E99" s="21">
        <f t="shared" si="2"/>
        <v>1455.2057476823118</v>
      </c>
      <c r="F99" s="21">
        <f t="shared" si="2"/>
        <v>4170.3985298763246</v>
      </c>
    </row>
    <row r="100" spans="1:12" s="161" customFormat="1">
      <c r="A100" s="197" t="s">
        <v>616</v>
      </c>
      <c r="B100" s="216" t="s">
        <v>7</v>
      </c>
      <c r="C100" s="160">
        <f>'Main calculations'!G126</f>
        <v>8.8937368257895489E-4</v>
      </c>
      <c r="D100" s="159">
        <f>'Main calculations'!L126</f>
        <v>1.9464532019783844E-2</v>
      </c>
      <c r="E100" s="159">
        <f>'Main calculations'!Q126</f>
        <v>6.4267621648586321E-2</v>
      </c>
      <c r="F100" s="159">
        <f>'Main calculations'!AA126</f>
        <v>0.14961941929527284</v>
      </c>
    </row>
    <row r="101" spans="1:12">
      <c r="A101" s="16" t="s">
        <v>617</v>
      </c>
      <c r="B101" s="216" t="s">
        <v>15</v>
      </c>
      <c r="C101" s="21">
        <f>'Main calculations'!G127</f>
        <v>12.765576009453543</v>
      </c>
      <c r="D101" s="21">
        <f>'Main calculations'!L127</f>
        <v>309.97653460015385</v>
      </c>
      <c r="E101" s="21">
        <f>'Main calculations'!Q127</f>
        <v>1135.5487691629432</v>
      </c>
      <c r="F101" s="21">
        <f>'Main calculations'!AA127</f>
        <v>3254.3102066924112</v>
      </c>
      <c r="J101"/>
      <c r="L101"/>
    </row>
    <row r="102" spans="1:12" s="10" customFormat="1">
      <c r="A102" s="16" t="s">
        <v>618</v>
      </c>
      <c r="B102" s="216"/>
      <c r="C102" s="187">
        <f>'Main calculations'!G129</f>
        <v>3.0844884296317855E-4</v>
      </c>
      <c r="D102" s="160">
        <f>'Main calculations'!L129</f>
        <v>1.3501214389237506E-3</v>
      </c>
      <c r="E102" s="160">
        <f>'Main calculations'!Q129</f>
        <v>2.6746831743461597E-3</v>
      </c>
      <c r="F102" s="160">
        <f>'Main calculations'!AA129</f>
        <v>3.9377184145443197E-3</v>
      </c>
    </row>
    <row r="103" spans="1:12" ht="15" thickBot="1">
      <c r="A103" s="18" t="s">
        <v>619</v>
      </c>
      <c r="B103" s="217" t="s">
        <v>15</v>
      </c>
      <c r="C103" s="22">
        <f>'Main calculations'!G130</f>
        <v>3.5935096466611722</v>
      </c>
      <c r="D103" s="22">
        <f>'Main calculations'!L130</f>
        <v>87.258394489943299</v>
      </c>
      <c r="E103" s="22">
        <f>'Main calculations'!Q130</f>
        <v>319.65697851936847</v>
      </c>
      <c r="F103" s="22">
        <f>'Main calculations'!AA130</f>
        <v>916.08832318391364</v>
      </c>
      <c r="J103"/>
      <c r="L103"/>
    </row>
    <row r="104" spans="1:12">
      <c r="A104" s="26" t="s">
        <v>643</v>
      </c>
      <c r="B104" s="19"/>
      <c r="E104" s="10"/>
      <c r="F104" s="10"/>
      <c r="J104"/>
      <c r="L104"/>
    </row>
    <row r="105" spans="1:12" ht="15.45">
      <c r="B105" s="20"/>
      <c r="D105" s="161"/>
      <c r="E105" s="161"/>
      <c r="F105" s="161"/>
      <c r="J105"/>
      <c r="L105"/>
    </row>
    <row r="106" spans="1:12" s="10" customFormat="1"/>
    <row r="107" spans="1:12">
      <c r="A107" s="10" t="s">
        <v>89</v>
      </c>
      <c r="B107" s="10">
        <v>10</v>
      </c>
      <c r="C107" s="10" t="s">
        <v>666</v>
      </c>
      <c r="E107" s="10"/>
      <c r="F107" s="10"/>
      <c r="J107"/>
      <c r="L107"/>
    </row>
    <row r="108" spans="1:12" ht="15.9" thickBot="1">
      <c r="A108" s="10"/>
      <c r="C108" s="10" t="s">
        <v>578</v>
      </c>
      <c r="D108" s="13"/>
      <c r="E108" s="10"/>
      <c r="F108" s="10"/>
      <c r="J108"/>
      <c r="L108"/>
    </row>
    <row r="109" spans="1:12" ht="15" thickBot="1">
      <c r="A109" s="14"/>
      <c r="B109" s="14" t="s">
        <v>91</v>
      </c>
      <c r="C109" s="15">
        <v>2020</v>
      </c>
      <c r="D109" s="15">
        <v>2025</v>
      </c>
      <c r="E109" s="15">
        <v>2030</v>
      </c>
      <c r="F109" s="15">
        <v>2040</v>
      </c>
      <c r="J109"/>
      <c r="L109"/>
    </row>
    <row r="110" spans="1:12">
      <c r="A110" s="16" t="s">
        <v>556</v>
      </c>
      <c r="B110" s="216" t="s">
        <v>15</v>
      </c>
      <c r="C110" s="21">
        <f>C111*C114/1000</f>
        <v>362.11244879497616</v>
      </c>
      <c r="D110" s="21">
        <f t="shared" ref="D110" si="3">D111*D114/1000</f>
        <v>1910.2891835505234</v>
      </c>
      <c r="E110" s="21">
        <f t="shared" ref="E110" si="4">E111*E114/1000</f>
        <v>3486.3805402955231</v>
      </c>
      <c r="F110" s="21">
        <f t="shared" ref="F110" si="5">F111*F114/1000</f>
        <v>6622.3191485538146</v>
      </c>
      <c r="J110"/>
      <c r="L110"/>
    </row>
    <row r="111" spans="1:12">
      <c r="A111" s="16" t="s">
        <v>90</v>
      </c>
      <c r="B111" s="236" t="s">
        <v>55</v>
      </c>
      <c r="C111" s="21">
        <f>C112*C113/100</f>
        <v>145.87323573047249</v>
      </c>
      <c r="D111" s="21">
        <f t="shared" ref="D111" si="6">D112*D113/100</f>
        <v>936.46039364872229</v>
      </c>
      <c r="E111" s="21">
        <f t="shared" ref="E111" si="7">E112*E113/100</f>
        <v>1827.2782331477824</v>
      </c>
      <c r="F111" s="21">
        <f t="shared" ref="F111" si="8">F112*F113/100</f>
        <v>3725.2506102078646</v>
      </c>
      <c r="J111"/>
      <c r="L111"/>
    </row>
    <row r="112" spans="1:12" s="10" customFormat="1">
      <c r="A112" s="16" t="s">
        <v>1102</v>
      </c>
      <c r="B112" s="236" t="s">
        <v>55</v>
      </c>
      <c r="C112" s="21">
        <f>'Main calculations'!G226</f>
        <v>2917.4647146094499</v>
      </c>
      <c r="D112" s="21">
        <f>'Main calculations'!L226</f>
        <v>3121.5346454957407</v>
      </c>
      <c r="E112" s="21">
        <f>'Main calculations'!Q226</f>
        <v>3322.3240602686951</v>
      </c>
      <c r="F112" s="21">
        <f>'Main calculations'!AA226</f>
        <v>3725.2506102078646</v>
      </c>
    </row>
    <row r="113" spans="1:12" s="10" customFormat="1">
      <c r="A113" s="16" t="s">
        <v>642</v>
      </c>
      <c r="B113" s="216" t="s">
        <v>7</v>
      </c>
      <c r="C113" s="21">
        <f>'Main calculations'!G60</f>
        <v>5</v>
      </c>
      <c r="D113" s="21">
        <f>'Main calculations'!L60</f>
        <v>30</v>
      </c>
      <c r="E113" s="21">
        <f>'Main calculations'!Q60</f>
        <v>55</v>
      </c>
      <c r="F113" s="21">
        <f>'Main calculations'!AA60</f>
        <v>100</v>
      </c>
    </row>
    <row r="114" spans="1:12" s="10" customFormat="1">
      <c r="A114" s="16" t="s">
        <v>644</v>
      </c>
      <c r="B114" s="216" t="s">
        <v>2</v>
      </c>
      <c r="C114" s="21">
        <f>C115-C118</f>
        <v>2482.3775724290181</v>
      </c>
      <c r="D114" s="21">
        <f>D115-D118</f>
        <v>2039.903872610651</v>
      </c>
      <c r="E114" s="21">
        <f>E115-E118</f>
        <v>1907.9637009026635</v>
      </c>
      <c r="F114" s="21">
        <f>F115-F118</f>
        <v>1777.6841993951912</v>
      </c>
    </row>
    <row r="115" spans="1:12" s="10" customFormat="1">
      <c r="A115" s="16" t="s">
        <v>645</v>
      </c>
      <c r="B115" s="216" t="s">
        <v>2</v>
      </c>
      <c r="C115" s="21">
        <f>(C116*C117/100)</f>
        <v>3970.2379470710162</v>
      </c>
      <c r="D115" s="21">
        <f t="shared" ref="D115" si="9">(D116*D117/100)</f>
        <v>3706.9220910881718</v>
      </c>
      <c r="E115" s="21">
        <f t="shared" ref="E115" si="10">(E116*E117/100)</f>
        <v>3775.7127102172144</v>
      </c>
      <c r="F115" s="21">
        <f t="shared" ref="F115" si="11">(F116*F117/100)</f>
        <v>4122.3170838047035</v>
      </c>
    </row>
    <row r="116" spans="1:12" s="10" customFormat="1">
      <c r="A116" s="66" t="s">
        <v>646</v>
      </c>
      <c r="B116" s="216" t="s">
        <v>2</v>
      </c>
      <c r="C116" s="21">
        <f>AVERAGE($C$69,$F$69,$G$69)*((1+'Main calculations'!$C$240/100)^(C109-2016))</f>
        <v>8822.7509934911468</v>
      </c>
      <c r="D116" s="21">
        <f>AVERAGE($C$69,$F$69,$G$69)*((1+'Main calculations'!$C$240/100)^(D109-2016))</f>
        <v>9885.1255762351248</v>
      </c>
      <c r="E116" s="21">
        <f>AVERAGE($C$69,$F$69,$G$69)*((1+'Main calculations'!$C$240/100)^(E109-2016))</f>
        <v>11075.423949970495</v>
      </c>
      <c r="F116" s="21">
        <f>AVERAGE($C$69,$F$69,$G$69)*((1+'Main calculations'!$C$240/100)^(F109-2016))</f>
        <v>13903.26166544588</v>
      </c>
    </row>
    <row r="117" spans="1:12" s="10" customFormat="1">
      <c r="A117" s="16" t="s">
        <v>93</v>
      </c>
      <c r="B117" s="216" t="s">
        <v>7</v>
      </c>
      <c r="C117" s="21">
        <f>'Main calculations'!G61</f>
        <v>45</v>
      </c>
      <c r="D117" s="21">
        <f>'Main calculations'!L61</f>
        <v>37.5</v>
      </c>
      <c r="E117" s="21">
        <f>'Main calculations'!Q61</f>
        <v>34.090909090909093</v>
      </c>
      <c r="F117" s="21">
        <f>'Main calculations'!AA61</f>
        <v>29.65</v>
      </c>
    </row>
    <row r="118" spans="1:12" ht="15" thickBot="1">
      <c r="A118" s="18" t="s">
        <v>647</v>
      </c>
      <c r="B118" s="217" t="s">
        <v>2</v>
      </c>
      <c r="C118" s="22">
        <f>AVERAGE(E68,F68)*((1+'Main calculations'!$C$240/100)^(C109-2016))</f>
        <v>1487.8603746419979</v>
      </c>
      <c r="D118" s="22">
        <f>AVERAGE(E68,F68)*((1+'Main calculations'!$C$240/100)^(D109-2016))</f>
        <v>1667.0182184775208</v>
      </c>
      <c r="E118" s="22">
        <f>AVERAGE(E68,F68)*((1+'Main calculations'!$C$240/100)^(E109-2016))</f>
        <v>1867.7490093145509</v>
      </c>
      <c r="F118" s="22">
        <f>AVERAGE(E68,F68)*((1+'Main calculations'!$C$240/100)^(F109-2016))</f>
        <v>2344.6328844095124</v>
      </c>
      <c r="J118"/>
      <c r="L118"/>
    </row>
    <row r="119" spans="1:12">
      <c r="A119" s="26" t="s">
        <v>643</v>
      </c>
      <c r="B119" s="19"/>
      <c r="C119" s="2"/>
      <c r="E119" s="10"/>
      <c r="F119" s="10"/>
      <c r="J119"/>
      <c r="L119"/>
    </row>
    <row r="120" spans="1:12">
      <c r="A120" s="16"/>
      <c r="B120" s="17"/>
      <c r="C120" s="21"/>
      <c r="D120" s="21"/>
      <c r="E120" s="21"/>
      <c r="F120" s="21"/>
      <c r="J120"/>
      <c r="L120"/>
    </row>
    <row r="121" spans="1:12">
      <c r="A121" s="10"/>
      <c r="E121" s="10"/>
      <c r="F121" s="10"/>
      <c r="J121"/>
      <c r="L121"/>
    </row>
    <row r="122" spans="1:12" s="10" customFormat="1">
      <c r="A122" s="10" t="s">
        <v>89</v>
      </c>
      <c r="B122" s="10">
        <v>11</v>
      </c>
      <c r="C122" s="10" t="s">
        <v>667</v>
      </c>
    </row>
    <row r="123" spans="1:12" s="10" customFormat="1" ht="15" thickBot="1">
      <c r="C123" s="161" t="s">
        <v>578</v>
      </c>
    </row>
    <row r="124" spans="1:12" s="10" customFormat="1" ht="15" thickBot="1">
      <c r="A124" s="14"/>
      <c r="B124" s="14" t="s">
        <v>91</v>
      </c>
      <c r="C124" s="15">
        <v>2020</v>
      </c>
      <c r="D124" s="15">
        <v>2025</v>
      </c>
      <c r="E124" s="15">
        <v>2030</v>
      </c>
      <c r="F124" s="15">
        <v>2040</v>
      </c>
    </row>
    <row r="125" spans="1:12" s="10" customFormat="1">
      <c r="A125" s="66" t="s">
        <v>196</v>
      </c>
      <c r="B125" s="216" t="s">
        <v>15</v>
      </c>
      <c r="C125" s="21">
        <f>C126*C127/1000000</f>
        <v>35.522407163405894</v>
      </c>
      <c r="D125" s="21">
        <f>D126*D127/1000000</f>
        <v>238.52346130841295</v>
      </c>
      <c r="E125" s="21">
        <f t="shared" ref="E125" si="12">E126*E127/1000000</f>
        <v>531.0676508074306</v>
      </c>
      <c r="F125" s="21">
        <f t="shared" ref="F125" si="13">F126*F127/1000000</f>
        <v>1483.4711453251257</v>
      </c>
    </row>
    <row r="126" spans="1:12" s="10" customFormat="1">
      <c r="A126" s="66" t="s">
        <v>652</v>
      </c>
      <c r="B126" s="216" t="s">
        <v>2</v>
      </c>
      <c r="C126" s="21">
        <f>'Main calculations'!G177</f>
        <v>251869.87430326312</v>
      </c>
      <c r="D126" s="21">
        <f>'Main calculations'!L177</f>
        <v>316134.86068134877</v>
      </c>
      <c r="E126" s="21">
        <f>'Main calculations'!Q177</f>
        <v>396797.15731974307</v>
      </c>
      <c r="F126" s="21">
        <f>'Main calculations'!AA177</f>
        <v>625116.38000602729</v>
      </c>
    </row>
    <row r="127" spans="1:12" s="10" customFormat="1" ht="15" thickBot="1">
      <c r="A127" s="67" t="s">
        <v>193</v>
      </c>
      <c r="B127" s="217" t="s">
        <v>651</v>
      </c>
      <c r="C127" s="22">
        <f>'Main calculations'!G178</f>
        <v>141.03475956253209</v>
      </c>
      <c r="D127" s="22">
        <f>'Main calculations'!L178</f>
        <v>754.49907926742378</v>
      </c>
      <c r="E127" s="22">
        <f>'Main calculations'!Q178</f>
        <v>1338.3857243198217</v>
      </c>
      <c r="F127" s="22">
        <f>'Main calculations'!AA178</f>
        <v>2373.1119400691791</v>
      </c>
    </row>
    <row r="128" spans="1:12" s="10" customFormat="1">
      <c r="A128" s="26" t="s">
        <v>643</v>
      </c>
      <c r="B128" s="19"/>
    </row>
    <row r="129" spans="1:15">
      <c r="A129" s="70"/>
      <c r="C129"/>
      <c r="E129" s="10"/>
      <c r="F129" s="10"/>
      <c r="J129"/>
      <c r="L129"/>
    </row>
    <row r="130" spans="1:15" s="27" customFormat="1" ht="11.6"/>
    <row r="131" spans="1:15" s="27" customFormat="1" ht="11.6">
      <c r="A131" s="27" t="s">
        <v>89</v>
      </c>
      <c r="B131" s="27">
        <v>12</v>
      </c>
      <c r="C131" s="27" t="s">
        <v>668</v>
      </c>
    </row>
    <row r="132" spans="1:15" s="27" customFormat="1" ht="12" thickBot="1">
      <c r="C132" s="27" t="s">
        <v>578</v>
      </c>
    </row>
    <row r="133" spans="1:15" s="10" customFormat="1" ht="15" thickBot="1">
      <c r="A133" s="14"/>
      <c r="B133" s="14" t="s">
        <v>91</v>
      </c>
      <c r="C133" s="15">
        <v>2020</v>
      </c>
      <c r="D133" s="15">
        <v>2025</v>
      </c>
      <c r="E133" s="15">
        <v>2030</v>
      </c>
      <c r="F133" s="15">
        <v>2040</v>
      </c>
    </row>
    <row r="134" spans="1:15" s="10" customFormat="1">
      <c r="A134" s="66" t="s">
        <v>669</v>
      </c>
      <c r="B134" s="216" t="s">
        <v>15</v>
      </c>
      <c r="C134" s="21">
        <f>C135+C136</f>
        <v>349.4061607337627</v>
      </c>
      <c r="D134" s="21">
        <f>D135+D136</f>
        <v>2192.7884041378966</v>
      </c>
      <c r="E134" s="21">
        <f>E135+E136</f>
        <v>4587.1362382621019</v>
      </c>
      <c r="F134" s="21">
        <f>F135+F136</f>
        <v>11427.662122723024</v>
      </c>
    </row>
    <row r="135" spans="1:15" s="10" customFormat="1">
      <c r="A135" s="66" t="s">
        <v>670</v>
      </c>
      <c r="B135" s="216" t="s">
        <v>15</v>
      </c>
      <c r="C135" s="21">
        <f>'Main calculations'!G201</f>
        <v>139.05352090501771</v>
      </c>
      <c r="D135" s="21">
        <f>'Main calculations'!L201</f>
        <v>872.66620472500995</v>
      </c>
      <c r="E135" s="21">
        <f>'Main calculations'!Q201</f>
        <v>1825.5472183484835</v>
      </c>
      <c r="F135" s="21">
        <f>'Main calculations'!AA201</f>
        <v>4547.8781786230729</v>
      </c>
    </row>
    <row r="136" spans="1:15" s="10" customFormat="1" ht="15" thickBot="1">
      <c r="A136" s="234" t="s">
        <v>671</v>
      </c>
      <c r="B136" s="234" t="s">
        <v>15</v>
      </c>
      <c r="C136" s="22">
        <f>'Main calculations'!G203</f>
        <v>210.35263982874497</v>
      </c>
      <c r="D136" s="22">
        <f>'Main calculations'!L203</f>
        <v>1320.1221994128869</v>
      </c>
      <c r="E136" s="22">
        <f>'Main calculations'!Q203</f>
        <v>2761.5890199136184</v>
      </c>
      <c r="F136" s="22">
        <f>'Main calculations'!AA203</f>
        <v>6879.7839440999514</v>
      </c>
    </row>
    <row r="137" spans="1:15" s="10" customFormat="1">
      <c r="A137" s="26" t="s">
        <v>643</v>
      </c>
      <c r="B137" s="19"/>
    </row>
    <row r="138" spans="1:15" s="10" customFormat="1">
      <c r="A138" s="70" t="s">
        <v>210</v>
      </c>
    </row>
    <row r="139" spans="1:15" s="161" customFormat="1">
      <c r="A139" s="70" t="s">
        <v>672</v>
      </c>
    </row>
    <row r="140" spans="1:15">
      <c r="A140" s="70" t="s">
        <v>954</v>
      </c>
      <c r="C140"/>
      <c r="D140"/>
      <c r="J140"/>
      <c r="L140"/>
    </row>
    <row r="141" spans="1:15">
      <c r="C141"/>
      <c r="D141"/>
      <c r="F141" s="10"/>
      <c r="J141"/>
      <c r="L141"/>
    </row>
    <row r="142" spans="1:15">
      <c r="C142"/>
      <c r="D142" s="161"/>
      <c r="E142" s="161"/>
      <c r="F142" s="161"/>
      <c r="G142" s="161"/>
      <c r="H142" s="161"/>
      <c r="I142" s="161"/>
      <c r="J142" s="161"/>
      <c r="L142"/>
      <c r="M142" s="10"/>
      <c r="O142" s="10"/>
    </row>
    <row r="143" spans="1:15" s="27" customFormat="1" ht="11.6">
      <c r="A143" s="27" t="s">
        <v>89</v>
      </c>
      <c r="B143" s="27">
        <v>13</v>
      </c>
      <c r="C143" s="27" t="s">
        <v>687</v>
      </c>
    </row>
    <row r="144" spans="1:15" s="27" customFormat="1" ht="12" thickBot="1">
      <c r="C144" s="27" t="s">
        <v>578</v>
      </c>
    </row>
    <row r="145" spans="1:6" s="161" customFormat="1" ht="15" thickBot="1">
      <c r="A145" s="14"/>
      <c r="B145" s="14" t="s">
        <v>91</v>
      </c>
      <c r="C145" s="15">
        <v>2020</v>
      </c>
      <c r="D145" s="15">
        <v>2025</v>
      </c>
      <c r="E145" s="15">
        <v>2030</v>
      </c>
      <c r="F145" s="15">
        <v>2040</v>
      </c>
    </row>
    <row r="146" spans="1:6" s="161" customFormat="1">
      <c r="A146" s="233" t="s">
        <v>688</v>
      </c>
      <c r="B146" s="233" t="s">
        <v>15</v>
      </c>
      <c r="C146" s="21">
        <f>C147+C148</f>
        <v>611.01566740542216</v>
      </c>
      <c r="D146" s="21">
        <f>D147+D148</f>
        <v>766.91725607786179</v>
      </c>
      <c r="E146" s="21">
        <f>E147+E148</f>
        <v>962.59737523185026</v>
      </c>
      <c r="F146" s="21">
        <f>F147+F148</f>
        <v>1516.4810924372457</v>
      </c>
    </row>
    <row r="147" spans="1:6" s="161" customFormat="1">
      <c r="A147" s="233" t="s">
        <v>956</v>
      </c>
      <c r="B147" s="233" t="s">
        <v>15</v>
      </c>
      <c r="C147" s="21">
        <f>'Main calculations'!G211</f>
        <v>443.84311818369247</v>
      </c>
      <c r="D147" s="21">
        <f>'Main calculations'!L211</f>
        <v>557.09037343002001</v>
      </c>
      <c r="E147" s="21">
        <f>'Main calculations'!Q211</f>
        <v>699.23284028469561</v>
      </c>
      <c r="F147" s="21">
        <f>'Main calculations'!AA211</f>
        <v>1101.5751847936765</v>
      </c>
    </row>
    <row r="148" spans="1:6" s="161" customFormat="1" ht="15" thickBot="1">
      <c r="A148" s="234" t="s">
        <v>957</v>
      </c>
      <c r="B148" s="234" t="s">
        <v>15</v>
      </c>
      <c r="C148" s="22">
        <f>'Main calculations'!G210</f>
        <v>167.17254922172972</v>
      </c>
      <c r="D148" s="22">
        <f>'Main calculations'!L210</f>
        <v>209.82688264784179</v>
      </c>
      <c r="E148" s="22">
        <f>'Main calculations'!Q210</f>
        <v>263.3645349471546</v>
      </c>
      <c r="F148" s="22">
        <f>'Main calculations'!AA210</f>
        <v>414.90590764356921</v>
      </c>
    </row>
    <row r="149" spans="1:6" s="161" customFormat="1">
      <c r="A149" s="26" t="s">
        <v>643</v>
      </c>
      <c r="B149" s="19"/>
    </row>
    <row r="150" spans="1:6" s="161" customFormat="1">
      <c r="A150" s="70" t="s">
        <v>210</v>
      </c>
    </row>
    <row r="151" spans="1:6" s="161" customFormat="1">
      <c r="A151" s="70" t="s">
        <v>955</v>
      </c>
    </row>
    <row r="152" spans="1:6">
      <c r="A152" s="70" t="s">
        <v>689</v>
      </c>
    </row>
  </sheetData>
  <mergeCells count="1">
    <mergeCell ref="A65:A66"/>
  </mergeCells>
  <hyperlinks>
    <hyperlink ref="A2" location="Contents!A1" display="(return to contents)"/>
    <hyperlink ref="A70" location="'Inputs into calculations'!A20" display="Sources: Productivity Commission estimates based on the five studies."/>
  </hyperlink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B39"/>
  <sheetViews>
    <sheetView showGridLines="0" zoomScale="120" zoomScaleNormal="120" workbookViewId="0">
      <pane xSplit="1" ySplit="13" topLeftCell="B32" activePane="bottomRight" state="frozen"/>
      <selection pane="topRight" activeCell="B1" sqref="B1"/>
      <selection pane="bottomLeft" activeCell="A14" sqref="A14"/>
      <selection pane="bottomRight" activeCell="A2" sqref="A2"/>
    </sheetView>
  </sheetViews>
  <sheetFormatPr defaultColWidth="8.69140625" defaultRowHeight="13.2" customHeight="1"/>
  <cols>
    <col min="1" max="1" width="25.3046875" style="76" customWidth="1"/>
    <col min="2" max="2" width="11.53515625" style="76" customWidth="1"/>
    <col min="3" max="3" width="11" style="76" customWidth="1"/>
    <col min="4" max="15" width="8.69140625" style="76" customWidth="1"/>
    <col min="16" max="27" width="9" style="76" bestFit="1" customWidth="1"/>
    <col min="28" max="16384" width="8.69140625" style="76"/>
  </cols>
  <sheetData>
    <row r="1" spans="1:28" ht="20.149999999999999">
      <c r="A1" s="74" t="s">
        <v>715</v>
      </c>
      <c r="B1" s="75"/>
    </row>
    <row r="2" spans="1:28" s="161" customFormat="1" ht="14.6">
      <c r="A2" s="9" t="s">
        <v>820</v>
      </c>
    </row>
    <row r="3" spans="1:28" ht="15.45">
      <c r="A3" s="77" t="s">
        <v>199</v>
      </c>
      <c r="B3" s="78" t="s">
        <v>515</v>
      </c>
    </row>
    <row r="5" spans="1:28" ht="13.2" customHeight="1">
      <c r="A5" s="79" t="s">
        <v>200</v>
      </c>
      <c r="E5" s="80" t="s">
        <v>201</v>
      </c>
    </row>
    <row r="6" spans="1:28" ht="13.2" customHeight="1">
      <c r="A6" s="81" t="s">
        <v>202</v>
      </c>
      <c r="B6" s="82">
        <v>7.0000000000000007E-2</v>
      </c>
      <c r="E6" s="83"/>
      <c r="F6" s="76" t="s">
        <v>203</v>
      </c>
    </row>
    <row r="7" spans="1:28" ht="13.2" customHeight="1">
      <c r="A7" s="81" t="s">
        <v>204</v>
      </c>
      <c r="B7" s="84">
        <v>2018</v>
      </c>
      <c r="E7" s="85" t="s">
        <v>701</v>
      </c>
    </row>
    <row r="8" spans="1:28" ht="13.2" customHeight="1">
      <c r="A8" s="81" t="s">
        <v>91</v>
      </c>
      <c r="B8" s="81" t="s">
        <v>205</v>
      </c>
    </row>
    <row r="9" spans="1:28" ht="17.600000000000001">
      <c r="A9" s="188"/>
      <c r="B9" s="189"/>
    </row>
    <row r="10" spans="1:28" ht="13.2" customHeight="1">
      <c r="B10" s="86" t="s">
        <v>206</v>
      </c>
      <c r="C10" s="87"/>
      <c r="E10" s="80" t="s">
        <v>207</v>
      </c>
    </row>
    <row r="11" spans="1:28" ht="13.2" customHeight="1">
      <c r="B11" s="87"/>
      <c r="C11" s="87"/>
      <c r="E11" s="76">
        <v>0</v>
      </c>
      <c r="F11" s="76">
        <f>E11+1</f>
        <v>1</v>
      </c>
      <c r="G11" s="76">
        <f t="shared" ref="G11:G12" si="0">F11+1</f>
        <v>2</v>
      </c>
      <c r="H11" s="76">
        <f t="shared" ref="H11:H12" si="1">G11+1</f>
        <v>3</v>
      </c>
      <c r="I11" s="76">
        <f t="shared" ref="I11:I12" si="2">H11+1</f>
        <v>4</v>
      </c>
      <c r="J11" s="76">
        <f t="shared" ref="J11:J12" si="3">I11+1</f>
        <v>5</v>
      </c>
      <c r="K11" s="76">
        <f t="shared" ref="K11:K12" si="4">J11+1</f>
        <v>6</v>
      </c>
      <c r="L11" s="76">
        <f t="shared" ref="L11:L12" si="5">K11+1</f>
        <v>7</v>
      </c>
      <c r="M11" s="76">
        <f t="shared" ref="M11:M12" si="6">L11+1</f>
        <v>8</v>
      </c>
      <c r="N11" s="76">
        <f t="shared" ref="N11:N12" si="7">M11+1</f>
        <v>9</v>
      </c>
      <c r="O11" s="76">
        <f t="shared" ref="O11:O12" si="8">N11+1</f>
        <v>10</v>
      </c>
      <c r="P11" s="76">
        <f t="shared" ref="P11:P12" si="9">O11+1</f>
        <v>11</v>
      </c>
      <c r="Q11" s="76">
        <f t="shared" ref="Q11:Q12" si="10">P11+1</f>
        <v>12</v>
      </c>
      <c r="R11" s="76">
        <f t="shared" ref="R11:R12" si="11">Q11+1</f>
        <v>13</v>
      </c>
      <c r="S11" s="76">
        <f t="shared" ref="S11:S12" si="12">R11+1</f>
        <v>14</v>
      </c>
      <c r="T11" s="76">
        <f t="shared" ref="T11:T12" si="13">S11+1</f>
        <v>15</v>
      </c>
      <c r="U11" s="76">
        <f t="shared" ref="U11:U12" si="14">T11+1</f>
        <v>16</v>
      </c>
      <c r="V11" s="76">
        <f t="shared" ref="V11:V12" si="15">U11+1</f>
        <v>17</v>
      </c>
      <c r="W11" s="76">
        <f t="shared" ref="W11:W12" si="16">V11+1</f>
        <v>18</v>
      </c>
      <c r="X11" s="76">
        <f t="shared" ref="X11:X12" si="17">W11+1</f>
        <v>19</v>
      </c>
      <c r="Y11" s="76">
        <f t="shared" ref="Y11:Y12" si="18">X11+1</f>
        <v>20</v>
      </c>
      <c r="Z11" s="76">
        <f t="shared" ref="Z11:Z12" si="19">Y11+1</f>
        <v>21</v>
      </c>
      <c r="AA11" s="76">
        <f t="shared" ref="AA11:AA12" si="20">Z11+1</f>
        <v>22</v>
      </c>
    </row>
    <row r="12" spans="1:28" ht="13.2" customHeight="1">
      <c r="B12" s="88" t="s">
        <v>208</v>
      </c>
      <c r="C12" s="89" t="s">
        <v>209</v>
      </c>
      <c r="E12" s="90">
        <f>FirstYear</f>
        <v>2018</v>
      </c>
      <c r="F12" s="90">
        <f>E12+1</f>
        <v>2019</v>
      </c>
      <c r="G12" s="90">
        <f t="shared" si="0"/>
        <v>2020</v>
      </c>
      <c r="H12" s="90">
        <f t="shared" si="1"/>
        <v>2021</v>
      </c>
      <c r="I12" s="90">
        <f t="shared" si="2"/>
        <v>2022</v>
      </c>
      <c r="J12" s="90">
        <f t="shared" si="3"/>
        <v>2023</v>
      </c>
      <c r="K12" s="90">
        <f t="shared" si="4"/>
        <v>2024</v>
      </c>
      <c r="L12" s="90">
        <f t="shared" si="5"/>
        <v>2025</v>
      </c>
      <c r="M12" s="90">
        <f t="shared" si="6"/>
        <v>2026</v>
      </c>
      <c r="N12" s="90">
        <f t="shared" si="7"/>
        <v>2027</v>
      </c>
      <c r="O12" s="90">
        <f t="shared" si="8"/>
        <v>2028</v>
      </c>
      <c r="P12" s="90">
        <f t="shared" si="9"/>
        <v>2029</v>
      </c>
      <c r="Q12" s="90">
        <f t="shared" si="10"/>
        <v>2030</v>
      </c>
      <c r="R12" s="90">
        <f t="shared" si="11"/>
        <v>2031</v>
      </c>
      <c r="S12" s="90">
        <f t="shared" si="12"/>
        <v>2032</v>
      </c>
      <c r="T12" s="90">
        <f t="shared" si="13"/>
        <v>2033</v>
      </c>
      <c r="U12" s="90">
        <f t="shared" si="14"/>
        <v>2034</v>
      </c>
      <c r="V12" s="90">
        <f t="shared" si="15"/>
        <v>2035</v>
      </c>
      <c r="W12" s="90">
        <f t="shared" si="16"/>
        <v>2036</v>
      </c>
      <c r="X12" s="90">
        <f t="shared" si="17"/>
        <v>2037</v>
      </c>
      <c r="Y12" s="90">
        <f t="shared" si="18"/>
        <v>2038</v>
      </c>
      <c r="Z12" s="90">
        <f t="shared" si="19"/>
        <v>2039</v>
      </c>
      <c r="AA12" s="90">
        <f t="shared" si="20"/>
        <v>2040</v>
      </c>
      <c r="AB12" s="90"/>
    </row>
    <row r="13" spans="1:28" ht="13.2" customHeight="1">
      <c r="B13" s="91" t="s">
        <v>18</v>
      </c>
      <c r="C13" s="92" t="str">
        <f>B13</f>
        <v>2016$</v>
      </c>
    </row>
    <row r="14" spans="1:28" ht="17.600000000000001">
      <c r="A14" s="188" t="s">
        <v>576</v>
      </c>
      <c r="B14" s="189"/>
    </row>
    <row r="15" spans="1:28" ht="13.2" customHeight="1">
      <c r="A15" s="76" t="s">
        <v>700</v>
      </c>
      <c r="B15" s="94">
        <f>$E15+NPV(DiscountRate,$F15:$HQ15)</f>
        <v>144144.96493547456</v>
      </c>
      <c r="C15" s="95">
        <f>B15*DiscountRate</f>
        <v>10090.14754548322</v>
      </c>
      <c r="E15" s="83">
        <f>'Main calculations'!E13</f>
        <v>582.76380971033916</v>
      </c>
      <c r="F15" s="83">
        <f>'Main calculations'!F13</f>
        <v>596.15112789918567</v>
      </c>
      <c r="G15" s="83">
        <f>'Main calculations'!G13</f>
        <v>1884.7013227291106</v>
      </c>
      <c r="H15" s="83">
        <f>'Main calculations'!H13</f>
        <v>3124.2451152468971</v>
      </c>
      <c r="I15" s="83">
        <f>'Main calculations'!I13</f>
        <v>4484.294805811136</v>
      </c>
      <c r="J15" s="83">
        <f>'Main calculations'!J13</f>
        <v>5964.7630550415006</v>
      </c>
      <c r="K15" s="83">
        <f>'Main calculations'!K13</f>
        <v>7225.1895956058679</v>
      </c>
      <c r="L15" s="83">
        <f>'Main calculations'!L13</f>
        <v>8545.170719480484</v>
      </c>
      <c r="M15" s="83">
        <f>'Main calculations'!M13</f>
        <v>9980.9608093178758</v>
      </c>
      <c r="N15" s="83">
        <f>'Main calculations'!N13</f>
        <v>11545.049165167746</v>
      </c>
      <c r="O15" s="83">
        <f>'Main calculations'!O13</f>
        <v>13252.030849257091</v>
      </c>
      <c r="P15" s="83">
        <f>'Main calculations'!P13</f>
        <v>15119.082510264827</v>
      </c>
      <c r="Q15" s="83">
        <f>'Main calculations'!Q13</f>
        <v>17030.15675874822</v>
      </c>
      <c r="R15" s="83">
        <f>'Main calculations'!R13</f>
        <v>19082.403102099412</v>
      </c>
      <c r="S15" s="83">
        <f>'Main calculations'!S13</f>
        <v>21285.491702567011</v>
      </c>
      <c r="T15" s="83">
        <f>'Main calculations'!T13</f>
        <v>23649.845643138262</v>
      </c>
      <c r="U15" s="83">
        <f>'Main calculations'!U13</f>
        <v>26186.71944321282</v>
      </c>
      <c r="V15" s="83">
        <f>'Main calculations'!V13</f>
        <v>28773.521766456626</v>
      </c>
      <c r="W15" s="83">
        <f>'Main calculations'!W13</f>
        <v>30663.25071151241</v>
      </c>
      <c r="X15" s="83">
        <f>'Main calculations'!X13</f>
        <v>32659.095214335226</v>
      </c>
      <c r="Y15" s="83">
        <f>'Main calculations'!Y13</f>
        <v>34766.803599986299</v>
      </c>
      <c r="Z15" s="83">
        <f>'Main calculations'!Z13</f>
        <v>36992.457550204606</v>
      </c>
      <c r="AA15" s="83">
        <f>'Main calculations'!AA13</f>
        <v>38469.500958928504</v>
      </c>
    </row>
    <row r="16" spans="1:28" ht="13.2" customHeight="1">
      <c r="A16" s="81"/>
      <c r="B16" s="81"/>
    </row>
    <row r="17" spans="1:27" ht="17.600000000000001">
      <c r="A17" s="188" t="s">
        <v>518</v>
      </c>
      <c r="B17" s="189"/>
    </row>
    <row r="18" spans="1:27" ht="13.2" customHeight="1">
      <c r="A18" s="76" t="s">
        <v>700</v>
      </c>
      <c r="B18" s="94">
        <f>$E18+NPV(DiscountRate,$F18:$HQ18)</f>
        <v>17229.113469468521</v>
      </c>
      <c r="C18" s="95">
        <f>B18*DiscountRate</f>
        <v>1206.0379428627966</v>
      </c>
      <c r="E18" s="83">
        <v>0</v>
      </c>
      <c r="F18" s="83">
        <v>0</v>
      </c>
      <c r="G18" s="83">
        <f>'Main calculations'!G19</f>
        <v>1034.0823535821132</v>
      </c>
      <c r="H18" s="83">
        <f>'Main calculations'!H19</f>
        <v>1103.6684437720903</v>
      </c>
      <c r="I18" s="83">
        <f>'Main calculations'!I19</f>
        <v>1167.0100964435417</v>
      </c>
      <c r="J18" s="83">
        <f>'Main calculations'!J19</f>
        <v>1228.0989083959594</v>
      </c>
      <c r="K18" s="83">
        <f>'Main calculations'!K19</f>
        <v>1330.71429672212</v>
      </c>
      <c r="L18" s="83">
        <f>'Main calculations'!L19</f>
        <v>1419.8520044549607</v>
      </c>
      <c r="M18" s="83">
        <f>'Main calculations'!M19</f>
        <v>1509.8571654721161</v>
      </c>
      <c r="N18" s="83">
        <f>'Main calculations'!N19</f>
        <v>1602.2258229847212</v>
      </c>
      <c r="O18" s="83">
        <f>'Main calculations'!O19</f>
        <v>1698.2382251619138</v>
      </c>
      <c r="P18" s="83">
        <f>'Main calculations'!P19</f>
        <v>1799.0961626247201</v>
      </c>
      <c r="Q18" s="83">
        <f>'Main calculations'!Q19</f>
        <v>1889.6469557468427</v>
      </c>
      <c r="R18" s="83">
        <f>'Main calculations'!R19</f>
        <v>1982.9261863757342</v>
      </c>
      <c r="S18" s="83">
        <f>'Main calculations'!S19</f>
        <v>2079.3304916682873</v>
      </c>
      <c r="T18" s="83">
        <f>'Main calculations'!T19</f>
        <v>2179.230902687319</v>
      </c>
      <c r="U18" s="83">
        <f>'Main calculations'!U19</f>
        <v>2282.9867706481941</v>
      </c>
      <c r="V18" s="83">
        <f>'Main calculations'!V19</f>
        <v>2379.404829997588</v>
      </c>
      <c r="W18" s="83">
        <f>'Main calculations'!W19</f>
        <v>2520.2892356601114</v>
      </c>
      <c r="X18" s="83">
        <f>'Main calculations'!X19</f>
        <v>2668.4154972655601</v>
      </c>
      <c r="Y18" s="83">
        <f>'Main calculations'!Y19</f>
        <v>2824.1516526968426</v>
      </c>
      <c r="Z18" s="83">
        <f>'Main calculations'!Z19</f>
        <v>2987.8874913763143</v>
      </c>
      <c r="AA18" s="83">
        <f>'Main calculations'!AA19</f>
        <v>3102.1943731607157</v>
      </c>
    </row>
    <row r="19" spans="1:27" ht="13.2" customHeight="1">
      <c r="A19" s="81"/>
      <c r="B19" s="81"/>
    </row>
    <row r="20" spans="1:27" ht="17.600000000000001">
      <c r="A20" s="188" t="s">
        <v>702</v>
      </c>
      <c r="B20" s="189"/>
    </row>
    <row r="21" spans="1:27" ht="13.2" customHeight="1">
      <c r="A21" s="76" t="s">
        <v>700</v>
      </c>
      <c r="B21" s="94">
        <f>$E21+NPV(DiscountRate,$F21:$HQ21)</f>
        <v>90799.626621120056</v>
      </c>
      <c r="C21" s="95">
        <f>B21*DiscountRate</f>
        <v>6355.9738634784044</v>
      </c>
      <c r="E21" s="83">
        <v>0</v>
      </c>
      <c r="F21" s="83">
        <v>0</v>
      </c>
      <c r="G21" s="83">
        <f>'Main calculations'!G31</f>
        <v>0</v>
      </c>
      <c r="H21" s="83">
        <f>'Main calculations'!H31</f>
        <v>908.92851134677892</v>
      </c>
      <c r="I21" s="83">
        <f>'Main calculations'!I31</f>
        <v>1923.5057507572858</v>
      </c>
      <c r="J21" s="83">
        <f>'Main calculations'!J31</f>
        <v>3038.2655129794366</v>
      </c>
      <c r="K21" s="83">
        <f>'Main calculations'!K31</f>
        <v>3930.6259919141139</v>
      </c>
      <c r="L21" s="83">
        <f>'Main calculations'!L31</f>
        <v>4876.0106880374478</v>
      </c>
      <c r="M21" s="83">
        <f>'Main calculations'!M31</f>
        <v>5915.0494297513405</v>
      </c>
      <c r="N21" s="83">
        <f>'Main calculations'!N31</f>
        <v>7057.3801949623003</v>
      </c>
      <c r="O21" s="83">
        <f>'Main calculations'!O31</f>
        <v>8314.8823629089602</v>
      </c>
      <c r="P21" s="83">
        <f>'Main calculations'!P31</f>
        <v>9702.0106676736523</v>
      </c>
      <c r="Q21" s="83">
        <f>'Main calculations'!Q31</f>
        <v>11116.260804437996</v>
      </c>
      <c r="R21" s="83">
        <f>'Main calculations'!R31</f>
        <v>12640.042588919912</v>
      </c>
      <c r="S21" s="83">
        <f>'Main calculations'!S31</f>
        <v>14280.825601803299</v>
      </c>
      <c r="T21" s="83">
        <f>'Main calculations'!T31</f>
        <v>16046.75250554141</v>
      </c>
      <c r="U21" s="83">
        <f>'Main calculations'!U31</f>
        <v>17946.697717030514</v>
      </c>
      <c r="V21" s="83">
        <f>'Main calculations'!V31</f>
        <v>19867.124812997619</v>
      </c>
      <c r="W21" s="83">
        <f>'Main calculations'!W31</f>
        <v>21144.498391144713</v>
      </c>
      <c r="X21" s="83">
        <f>'Main calculations'!X31</f>
        <v>22491.494662464174</v>
      </c>
      <c r="Y21" s="83">
        <f>'Main calculations'!Y31</f>
        <v>23911.793127336219</v>
      </c>
      <c r="Z21" s="83">
        <f>'Main calculations'!Z31</f>
        <v>25409.28975817957</v>
      </c>
      <c r="AA21" s="83">
        <f>'Main calculations'!AA31</f>
        <v>26386.934134178879</v>
      </c>
    </row>
    <row r="22" spans="1:27" ht="13.2" customHeight="1">
      <c r="A22" s="81"/>
      <c r="B22" s="81"/>
    </row>
    <row r="23" spans="1:27" ht="17.600000000000001">
      <c r="A23" s="188" t="s">
        <v>568</v>
      </c>
      <c r="B23" s="189"/>
    </row>
    <row r="24" spans="1:27" ht="13.2" customHeight="1">
      <c r="A24" s="76" t="s">
        <v>700</v>
      </c>
      <c r="B24" s="94">
        <f>$E24+NPV(DiscountRate,$F24:$HQ24)</f>
        <v>2434.8251607542438</v>
      </c>
      <c r="C24" s="95">
        <f>B24*DiscountRate</f>
        <v>170.43776125279709</v>
      </c>
      <c r="E24" s="83">
        <v>0</v>
      </c>
      <c r="F24" s="83">
        <v>0</v>
      </c>
      <c r="G24" s="83">
        <f>'Main calculations'!G44</f>
        <v>29.250661912830353</v>
      </c>
      <c r="H24" s="83">
        <f>'Main calculations'!H44</f>
        <v>56.411526535666248</v>
      </c>
      <c r="I24" s="83">
        <f>'Main calculations'!I44</f>
        <v>84.700247930757698</v>
      </c>
      <c r="J24" s="83">
        <f>'Main calculations'!J44</f>
        <v>114.15221814124075</v>
      </c>
      <c r="K24" s="83">
        <f>'Main calculations'!K44</f>
        <v>137.74021739897165</v>
      </c>
      <c r="L24" s="83">
        <f>'Main calculations'!L44</f>
        <v>162.26857149732695</v>
      </c>
      <c r="M24" s="83">
        <f>'Main calculations'!M44</f>
        <v>187.76637303194025</v>
      </c>
      <c r="N24" s="83">
        <f>'Main calculations'!N44</f>
        <v>214.26352179097699</v>
      </c>
      <c r="O24" s="83">
        <f>'Main calculations'!O44</f>
        <v>241.79074582738613</v>
      </c>
      <c r="P24" s="83">
        <f>'Main calculations'!P44</f>
        <v>270.37962306021467</v>
      </c>
      <c r="Q24" s="83">
        <f>'Main calculations'!Q44</f>
        <v>300.06260341791221</v>
      </c>
      <c r="R24" s="83">
        <f>'Main calculations'!R44</f>
        <v>330.87303153686332</v>
      </c>
      <c r="S24" s="83">
        <f>'Main calculations'!S44</f>
        <v>362.84517002870319</v>
      </c>
      <c r="T24" s="83">
        <f>'Main calculations'!T44</f>
        <v>396.01422333029262</v>
      </c>
      <c r="U24" s="83">
        <f>'Main calculations'!U44</f>
        <v>430.41636215056587</v>
      </c>
      <c r="V24" s="83">
        <f>'Main calculations'!V44</f>
        <v>466.08874852880223</v>
      </c>
      <c r="W24" s="83">
        <f>'Main calculations'!W44</f>
        <v>491.28595016831537</v>
      </c>
      <c r="X24" s="83">
        <f>'Main calculations'!X44</f>
        <v>517.33588913858682</v>
      </c>
      <c r="Y24" s="83">
        <f>'Main calculations'!Y44</f>
        <v>544.26326844158564</v>
      </c>
      <c r="Z24" s="83">
        <f>'Main calculations'!Z44</f>
        <v>572.09345254820016</v>
      </c>
      <c r="AA24" s="83">
        <f>'Main calculations'!AA44</f>
        <v>584.10741505171234</v>
      </c>
    </row>
    <row r="25" spans="1:27" ht="13.2" customHeight="1">
      <c r="A25" s="81"/>
      <c r="B25" s="81"/>
    </row>
    <row r="26" spans="1:27" ht="17.600000000000001">
      <c r="A26" s="188" t="s">
        <v>569</v>
      </c>
      <c r="B26" s="189"/>
    </row>
    <row r="27" spans="1:27" ht="13.2" customHeight="1">
      <c r="A27" s="76" t="s">
        <v>700</v>
      </c>
      <c r="B27" s="94">
        <f>$E27+NPV(DiscountRate,$F27:$HQ27)</f>
        <v>23484.614680807965</v>
      </c>
      <c r="C27" s="95">
        <f>B27*DiscountRate</f>
        <v>1643.9230276565577</v>
      </c>
      <c r="E27" s="83">
        <v>0</v>
      </c>
      <c r="F27" s="83">
        <v>0</v>
      </c>
      <c r="G27" s="83">
        <f>'Main calculations'!G46</f>
        <v>210.35263982874494</v>
      </c>
      <c r="H27" s="83">
        <f>'Main calculations'!H46</f>
        <v>415.80873765258735</v>
      </c>
      <c r="I27" s="83">
        <f>'Main calculations'!I46</f>
        <v>639.91741757857756</v>
      </c>
      <c r="J27" s="83">
        <f>'Main calculations'!J46</f>
        <v>883.96912229469558</v>
      </c>
      <c r="K27" s="83">
        <f>'Main calculations'!K46</f>
        <v>1093.2689022052896</v>
      </c>
      <c r="L27" s="83">
        <f>'Main calculations'!L46</f>
        <v>1320.1221994128871</v>
      </c>
      <c r="M27" s="83">
        <f>'Main calculations'!M46</f>
        <v>1565.7089325769975</v>
      </c>
      <c r="N27" s="83">
        <f>'Main calculations'!N46</f>
        <v>1831.2807976996905</v>
      </c>
      <c r="O27" s="83">
        <f>'Main calculations'!O46</f>
        <v>2118.1653921393281</v>
      </c>
      <c r="P27" s="83">
        <f>'Main calculations'!P46</f>
        <v>2427.7705669570273</v>
      </c>
      <c r="Q27" s="83">
        <f>'Main calculations'!Q46</f>
        <v>2761.5890199136188</v>
      </c>
      <c r="R27" s="83">
        <f>'Main calculations'!R46</f>
        <v>3121.2031420867693</v>
      </c>
      <c r="S27" s="83">
        <f>'Main calculations'!S46</f>
        <v>3508.2901317637165</v>
      </c>
      <c r="T27" s="83">
        <f>'Main calculations'!T46</f>
        <v>3924.6273899866419</v>
      </c>
      <c r="U27" s="83">
        <f>'Main calculations'!U46</f>
        <v>4372.0982128868927</v>
      </c>
      <c r="V27" s="83">
        <f>'Main calculations'!V46</f>
        <v>4852.6977967428684</v>
      </c>
      <c r="W27" s="83">
        <f>'Main calculations'!W46</f>
        <v>5242.7899969637047</v>
      </c>
      <c r="X27" s="83">
        <f>'Main calculations'!X46</f>
        <v>5658.6680259940713</v>
      </c>
      <c r="Y27" s="83">
        <f>'Main calculations'!Y46</f>
        <v>6101.8864890533287</v>
      </c>
      <c r="Z27" s="83">
        <f>'Main calculations'!Z46</f>
        <v>6574.0888142378899</v>
      </c>
      <c r="AA27" s="83">
        <f>'Main calculations'!AA46</f>
        <v>6879.7839440999514</v>
      </c>
    </row>
    <row r="28" spans="1:27" ht="13.2" customHeight="1">
      <c r="A28" s="81"/>
      <c r="B28" s="81"/>
    </row>
    <row r="29" spans="1:27" ht="17.600000000000001">
      <c r="A29" s="188" t="s">
        <v>570</v>
      </c>
      <c r="B29" s="189"/>
    </row>
    <row r="30" spans="1:27" ht="13.2" customHeight="1">
      <c r="A30" s="76" t="s">
        <v>700</v>
      </c>
      <c r="B30" s="94">
        <f>$E30+NPV(DiscountRate,$F30:$HQ30)</f>
        <v>10196.785003323801</v>
      </c>
      <c r="C30" s="95">
        <f>B30*DiscountRate</f>
        <v>713.77495023266613</v>
      </c>
      <c r="E30" s="83">
        <f>'Main calculations'!E49</f>
        <v>582.76380971033916</v>
      </c>
      <c r="F30" s="83">
        <f>'Main calculations'!F49</f>
        <v>596.15112789918567</v>
      </c>
      <c r="G30" s="83">
        <f>'Main calculations'!G49</f>
        <v>611.01566740542216</v>
      </c>
      <c r="H30" s="83">
        <f>'Main calculations'!H49</f>
        <v>639.42789593977432</v>
      </c>
      <c r="I30" s="83">
        <f>'Main calculations'!I49</f>
        <v>669.16129310097381</v>
      </c>
      <c r="J30" s="83">
        <f>'Main calculations'!J49</f>
        <v>700.27729323016911</v>
      </c>
      <c r="K30" s="83">
        <f>'Main calculations'!K49</f>
        <v>732.840187365372</v>
      </c>
      <c r="L30" s="83">
        <f>'Main calculations'!L49</f>
        <v>766.91725607786179</v>
      </c>
      <c r="M30" s="83">
        <f>'Main calculations'!M49</f>
        <v>802.57890848548243</v>
      </c>
      <c r="N30" s="83">
        <f>'Main calculations'!N49</f>
        <v>839.89882773005752</v>
      </c>
      <c r="O30" s="83">
        <f>'Main calculations'!O49</f>
        <v>878.95412321950516</v>
      </c>
      <c r="P30" s="83">
        <f>'Main calculations'!P49</f>
        <v>919.82548994921194</v>
      </c>
      <c r="Q30" s="83">
        <f>'Main calculations'!Q49</f>
        <v>962.59737523185026</v>
      </c>
      <c r="R30" s="83">
        <f>'Main calculations'!R49</f>
        <v>1007.3581531801312</v>
      </c>
      <c r="S30" s="83">
        <f>'Main calculations'!S49</f>
        <v>1054.2003073030073</v>
      </c>
      <c r="T30" s="83">
        <f>'Main calculations'!T49</f>
        <v>1103.2206215925971</v>
      </c>
      <c r="U30" s="83">
        <f>'Main calculations'!U49</f>
        <v>1154.5203804966529</v>
      </c>
      <c r="V30" s="83">
        <f>'Main calculations'!V49</f>
        <v>1208.2055781897473</v>
      </c>
      <c r="W30" s="83">
        <f>'Main calculations'!W49</f>
        <v>1264.3871375755705</v>
      </c>
      <c r="X30" s="83">
        <f>'Main calculations'!X49</f>
        <v>1323.1811394728345</v>
      </c>
      <c r="Y30" s="83">
        <f>'Main calculations'!Y49</f>
        <v>1384.7090624583211</v>
      </c>
      <c r="Z30" s="83">
        <f>'Main calculations'!Z49</f>
        <v>1449.0980338626332</v>
      </c>
      <c r="AA30" s="83">
        <f>'Main calculations'!AA49</f>
        <v>1516.4810924372457</v>
      </c>
    </row>
    <row r="31" spans="1:27" ht="13.2" customHeight="1">
      <c r="A31" s="81"/>
      <c r="B31" s="81"/>
    </row>
    <row r="32" spans="1:27" ht="17.600000000000001">
      <c r="A32" s="188" t="s">
        <v>575</v>
      </c>
      <c r="B32" s="189"/>
    </row>
    <row r="33" spans="1:27" ht="13.2" customHeight="1">
      <c r="A33" s="76" t="s">
        <v>700</v>
      </c>
      <c r="B33" s="94">
        <f>$E33+NPV(DiscountRate,$F33:$HQ33)</f>
        <v>8757.447214256923</v>
      </c>
      <c r="C33" s="95">
        <f>B33*DiscountRate</f>
        <v>613.02130499798466</v>
      </c>
      <c r="E33" s="83">
        <f>'Main calculations'!E13</f>
        <v>582.76380971033916</v>
      </c>
      <c r="F33" s="83">
        <f>'Main calculations'!F13</f>
        <v>596.15112789918567</v>
      </c>
      <c r="G33" s="83">
        <f>'Main calculations'!G13</f>
        <v>1884.7013227291106</v>
      </c>
      <c r="H33" s="83">
        <f>'Main calculations'!H13</f>
        <v>3124.2451152468971</v>
      </c>
      <c r="I33" s="83">
        <f>'Main calculations'!I13</f>
        <v>4484.294805811136</v>
      </c>
      <c r="J33" s="83"/>
      <c r="K33" s="83"/>
      <c r="L33" s="83"/>
      <c r="M33" s="83"/>
      <c r="N33" s="83"/>
      <c r="O33" s="83"/>
      <c r="P33" s="83"/>
      <c r="Q33" s="83"/>
      <c r="R33" s="83"/>
      <c r="S33" s="83"/>
      <c r="T33" s="83"/>
      <c r="U33" s="83"/>
      <c r="V33" s="83"/>
      <c r="W33" s="83"/>
      <c r="X33" s="83"/>
      <c r="Y33" s="83"/>
      <c r="Z33" s="83"/>
      <c r="AA33" s="83"/>
    </row>
    <row r="34" spans="1:27" ht="13.2" customHeight="1">
      <c r="A34" s="81"/>
      <c r="B34" s="81"/>
    </row>
    <row r="35" spans="1:27" ht="17.600000000000001">
      <c r="A35" s="188" t="s">
        <v>888</v>
      </c>
      <c r="B35" s="189"/>
    </row>
    <row r="36" spans="1:27" ht="13.2" customHeight="1">
      <c r="A36" s="76" t="s">
        <v>700</v>
      </c>
      <c r="B36" s="94">
        <f>$E36+NPV(DiscountRate,$F36:$HQ36)</f>
        <v>241515.71300933056</v>
      </c>
      <c r="C36" s="95">
        <f>B36*DiscountRate</f>
        <v>16906.099910653142</v>
      </c>
      <c r="E36" s="83">
        <f>'Sensitivity calculations'!E54</f>
        <v>582.76380971033916</v>
      </c>
      <c r="F36" s="83">
        <f>'Sensitivity calculations'!F54</f>
        <v>596.15112789918567</v>
      </c>
      <c r="G36" s="83">
        <f>'Sensitivity calculations'!G54</f>
        <v>3162.9218443316349</v>
      </c>
      <c r="H36" s="83">
        <f>'Sensitivity calculations'!H54</f>
        <v>5616.3107177308575</v>
      </c>
      <c r="I36" s="83">
        <f>'Sensitivity calculations'!I54</f>
        <v>8308.1475420431307</v>
      </c>
      <c r="J36" s="83">
        <f>'Sensitivity calculations'!J54</f>
        <v>11238.197500565126</v>
      </c>
      <c r="K36" s="83">
        <f>'Sensitivity calculations'!K54</f>
        <v>14122.600514044001</v>
      </c>
      <c r="L36" s="83">
        <f>'Sensitivity calculations'!L54</f>
        <v>17158.988573094113</v>
      </c>
      <c r="M36" s="83">
        <f>'Sensitivity calculations'!M54</f>
        <v>20463.054237101296</v>
      </c>
      <c r="N36" s="83">
        <f>'Sensitivity calculations'!N54</f>
        <v>24063.445725555805</v>
      </c>
      <c r="O36" s="83">
        <f>'Sensitivity calculations'!O54</f>
        <v>27993.613230202835</v>
      </c>
      <c r="P36" s="83">
        <f>'Sensitivity calculations'!P54</f>
        <v>32292.893664517043</v>
      </c>
      <c r="Q36" s="83">
        <f>'Sensitivity calculations'!Q54</f>
        <v>33695.869471850056</v>
      </c>
      <c r="R36" s="83">
        <f>'Sensitivity calculations'!R54</f>
        <v>35164.617202534071</v>
      </c>
      <c r="S36" s="83">
        <f>'Sensitivity calculations'!S54</f>
        <v>36702.881595992934</v>
      </c>
      <c r="T36" s="83">
        <f>'Sensitivity calculations'!T54</f>
        <v>38314.69051999972</v>
      </c>
      <c r="U36" s="83">
        <f>'Sensitivity calculations'!U54</f>
        <v>40004.390915138029</v>
      </c>
      <c r="V36" s="83">
        <f>'Sensitivity calculations'!V54</f>
        <v>41584.164448417672</v>
      </c>
      <c r="W36" s="83">
        <f>'Sensitivity calculations'!W54</f>
        <v>43226.061987858819</v>
      </c>
      <c r="X36" s="83">
        <f>'Sensitivity calculations'!X54</f>
        <v>44932.835830364595</v>
      </c>
      <c r="Y36" s="83">
        <f>'Sensitivity calculations'!Y54</f>
        <v>46707.343932101496</v>
      </c>
      <c r="Z36" s="83">
        <f>'Sensitivity calculations'!Z54</f>
        <v>48552.598967810729</v>
      </c>
      <c r="AA36" s="83">
        <f>'Sensitivity calculations'!AA54</f>
        <v>47010.456489578908</v>
      </c>
    </row>
    <row r="37" spans="1:27" s="307" customFormat="1" ht="13.2" customHeight="1">
      <c r="A37" s="306"/>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row>
    <row r="38" spans="1:27" ht="13.2" customHeight="1">
      <c r="A38" s="96" t="s">
        <v>210</v>
      </c>
    </row>
    <row r="39" spans="1:27" ht="13.2" customHeight="1">
      <c r="A39" s="96" t="s">
        <v>108</v>
      </c>
    </row>
  </sheetData>
  <hyperlinks>
    <hyperlink ref="A2" location="Contents!A1" display="(return to contents)"/>
  </hyperlinks>
  <pageMargins left="0.70866141732283472" right="0.70866141732283472" top="0.74803149606299213" bottom="0.74803149606299213"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H301"/>
  <sheetViews>
    <sheetView zoomScale="119" zoomScaleNormal="120" workbookViewId="0">
      <pane xSplit="2" ySplit="3" topLeftCell="C231" activePane="bottomRight" state="frozen"/>
      <selection pane="topRight" activeCell="C1" sqref="C1"/>
      <selection pane="bottomLeft" activeCell="A3" sqref="A3"/>
      <selection pane="bottomRight" activeCell="A249" sqref="A249"/>
    </sheetView>
  </sheetViews>
  <sheetFormatPr defaultColWidth="8.69140625" defaultRowHeight="14.6"/>
  <cols>
    <col min="1" max="1" width="41.69140625" style="161" customWidth="1"/>
    <col min="2" max="2" width="17.07421875" style="161" bestFit="1" customWidth="1"/>
    <col min="3" max="3" width="8.3046875" style="161" customWidth="1"/>
    <col min="4" max="4" width="8" style="161" customWidth="1"/>
    <col min="5" max="7" width="8.69140625" style="161" customWidth="1"/>
    <col min="8" max="11" width="0.69140625" style="161" customWidth="1"/>
    <col min="12" max="12" width="8.69140625" style="161" customWidth="1"/>
    <col min="13" max="16" width="0.53515625" style="161" customWidth="1"/>
    <col min="17" max="17" width="8.69140625" style="161" customWidth="1"/>
    <col min="18" max="20" width="0.69140625" style="161" customWidth="1"/>
    <col min="21" max="21" width="0.53515625" style="161" customWidth="1"/>
    <col min="22" max="26" width="0.69140625" style="161" customWidth="1"/>
    <col min="27" max="27" width="8.69140625" style="161" customWidth="1"/>
    <col min="28" max="28" width="0.84375" style="161" customWidth="1"/>
    <col min="29" max="29" width="11.3046875" style="161" customWidth="1"/>
    <col min="30" max="30" width="9.84375" style="161" customWidth="1"/>
    <col min="31" max="31" width="8.69140625" style="161"/>
    <col min="32" max="32" width="10" style="161" customWidth="1"/>
    <col min="33" max="33" width="1.3046875" style="161" customWidth="1"/>
    <col min="34" max="34" width="10.69140625" style="161" customWidth="1"/>
    <col min="35" max="16384" width="8.69140625" style="161"/>
  </cols>
  <sheetData>
    <row r="1" spans="1:32" ht="20.149999999999999">
      <c r="A1" s="74" t="s">
        <v>819</v>
      </c>
      <c r="H1" s="308"/>
      <c r="I1" s="308"/>
      <c r="J1" s="308"/>
      <c r="K1" s="308"/>
      <c r="AD1" s="308"/>
      <c r="AE1" s="308"/>
    </row>
    <row r="2" spans="1:32" s="12" customFormat="1">
      <c r="A2" s="344" t="s">
        <v>1094</v>
      </c>
      <c r="B2" s="342" t="s">
        <v>797</v>
      </c>
      <c r="C2" s="342" t="s">
        <v>798</v>
      </c>
      <c r="D2" s="342" t="s">
        <v>799</v>
      </c>
      <c r="E2" s="342" t="s">
        <v>800</v>
      </c>
      <c r="F2" s="342" t="s">
        <v>801</v>
      </c>
      <c r="G2" s="342" t="s">
        <v>802</v>
      </c>
      <c r="H2" s="27"/>
      <c r="I2" s="27"/>
      <c r="J2" s="27"/>
      <c r="K2" s="27"/>
      <c r="L2" s="342" t="s">
        <v>803</v>
      </c>
      <c r="M2" s="27"/>
      <c r="N2" s="27"/>
      <c r="O2" s="27"/>
      <c r="P2" s="27"/>
      <c r="Q2" s="342" t="s">
        <v>804</v>
      </c>
      <c r="R2" s="27"/>
      <c r="S2" s="27"/>
      <c r="T2" s="27"/>
      <c r="U2" s="27"/>
      <c r="V2" s="27"/>
      <c r="W2" s="27"/>
      <c r="X2" s="27"/>
      <c r="Y2" s="27"/>
      <c r="Z2" s="27"/>
      <c r="AA2" s="342" t="s">
        <v>805</v>
      </c>
      <c r="AB2" s="27"/>
      <c r="AC2"/>
      <c r="AD2" s="27"/>
      <c r="AE2" s="27"/>
      <c r="AF2" s="27"/>
    </row>
    <row r="3" spans="1:32">
      <c r="A3" s="9" t="s">
        <v>820</v>
      </c>
    </row>
    <row r="4" spans="1:32" ht="15.45">
      <c r="A4" s="93" t="s">
        <v>975</v>
      </c>
    </row>
    <row r="5" spans="1:32" s="27" customFormat="1" ht="12" thickBot="1">
      <c r="A5" s="27" t="s">
        <v>650</v>
      </c>
      <c r="B5" s="230">
        <v>1</v>
      </c>
      <c r="C5" s="27" t="s">
        <v>789</v>
      </c>
      <c r="J5" s="54"/>
      <c r="K5" s="54"/>
      <c r="L5" s="54"/>
      <c r="M5" s="54"/>
      <c r="N5" s="54"/>
      <c r="O5" s="54"/>
      <c r="P5" s="54"/>
      <c r="Q5" s="54"/>
      <c r="R5" s="54"/>
      <c r="S5" s="54"/>
      <c r="T5" s="54"/>
      <c r="U5" s="54"/>
      <c r="V5" s="54"/>
      <c r="W5" s="54"/>
      <c r="X5" s="54"/>
      <c r="Y5" s="54"/>
      <c r="Z5" s="54"/>
      <c r="AA5" s="54"/>
    </row>
    <row r="6" spans="1:32" s="27" customFormat="1" ht="12" thickBot="1">
      <c r="A6" s="14"/>
      <c r="B6" s="14" t="s">
        <v>91</v>
      </c>
      <c r="C6" s="15">
        <v>2016</v>
      </c>
      <c r="D6" s="15">
        <v>2017</v>
      </c>
      <c r="E6" s="15">
        <v>2018</v>
      </c>
      <c r="F6" s="15">
        <v>2019</v>
      </c>
      <c r="G6" s="15">
        <v>2020</v>
      </c>
      <c r="H6" s="15">
        <v>2021</v>
      </c>
      <c r="I6" s="15">
        <v>2022</v>
      </c>
      <c r="J6" s="15">
        <v>2023</v>
      </c>
      <c r="K6" s="15">
        <v>2024</v>
      </c>
      <c r="L6" s="15">
        <v>2025</v>
      </c>
      <c r="M6" s="15">
        <v>2026</v>
      </c>
      <c r="N6" s="15">
        <v>2027</v>
      </c>
      <c r="O6" s="15">
        <v>2028</v>
      </c>
      <c r="P6" s="15">
        <v>2029</v>
      </c>
      <c r="Q6" s="15">
        <v>2030</v>
      </c>
      <c r="R6" s="15">
        <v>2031</v>
      </c>
      <c r="S6" s="15">
        <v>2032</v>
      </c>
      <c r="T6" s="15">
        <v>2033</v>
      </c>
      <c r="U6" s="15">
        <v>2034</v>
      </c>
      <c r="V6" s="15">
        <v>2035</v>
      </c>
      <c r="W6" s="15">
        <v>2036</v>
      </c>
      <c r="X6" s="15">
        <v>2037</v>
      </c>
      <c r="Y6" s="15">
        <v>2038</v>
      </c>
      <c r="Z6" s="15">
        <v>2039</v>
      </c>
      <c r="AA6" s="15">
        <v>2040</v>
      </c>
      <c r="AB6" s="292"/>
      <c r="AC6" s="292" t="s">
        <v>828</v>
      </c>
    </row>
    <row r="7" spans="1:32" s="27" customFormat="1" ht="23.15">
      <c r="A7" s="197" t="s">
        <v>523</v>
      </c>
      <c r="B7" s="263" t="s">
        <v>7</v>
      </c>
      <c r="C7" s="253" t="s">
        <v>47</v>
      </c>
      <c r="D7" s="253" t="s">
        <v>47</v>
      </c>
      <c r="E7" s="253" t="s">
        <v>47</v>
      </c>
      <c r="F7" s="253" t="s">
        <v>47</v>
      </c>
      <c r="G7" s="254">
        <f t="shared" ref="G7:AA7" si="0">G59</f>
        <v>2.25</v>
      </c>
      <c r="H7" s="254">
        <f t="shared" si="0"/>
        <v>4.25</v>
      </c>
      <c r="I7" s="254">
        <f t="shared" si="0"/>
        <v>6.25</v>
      </c>
      <c r="J7" s="254">
        <f t="shared" si="0"/>
        <v>8.25</v>
      </c>
      <c r="K7" s="254">
        <f t="shared" si="0"/>
        <v>9.75</v>
      </c>
      <c r="L7" s="254">
        <f t="shared" si="0"/>
        <v>11.25</v>
      </c>
      <c r="M7" s="254">
        <f t="shared" si="0"/>
        <v>12.75</v>
      </c>
      <c r="N7" s="254">
        <f t="shared" si="0"/>
        <v>14.25</v>
      </c>
      <c r="O7" s="254">
        <f t="shared" si="0"/>
        <v>15.75</v>
      </c>
      <c r="P7" s="254">
        <f t="shared" si="0"/>
        <v>17.25</v>
      </c>
      <c r="Q7" s="254">
        <f t="shared" si="0"/>
        <v>18.750000000000004</v>
      </c>
      <c r="R7" s="254">
        <f t="shared" si="0"/>
        <v>20.25</v>
      </c>
      <c r="S7" s="254">
        <f t="shared" si="0"/>
        <v>21.75</v>
      </c>
      <c r="T7" s="254">
        <f t="shared" si="0"/>
        <v>23.25</v>
      </c>
      <c r="U7" s="254">
        <f t="shared" si="0"/>
        <v>24.75</v>
      </c>
      <c r="V7" s="254">
        <f t="shared" si="0"/>
        <v>26.25</v>
      </c>
      <c r="W7" s="254">
        <f t="shared" si="0"/>
        <v>27.1</v>
      </c>
      <c r="X7" s="254">
        <f t="shared" si="0"/>
        <v>27.95</v>
      </c>
      <c r="Y7" s="254">
        <f t="shared" si="0"/>
        <v>28.8</v>
      </c>
      <c r="Z7" s="254">
        <f t="shared" si="0"/>
        <v>29.65</v>
      </c>
      <c r="AA7" s="254">
        <f t="shared" si="0"/>
        <v>29.65</v>
      </c>
      <c r="AC7" s="27" t="s">
        <v>698</v>
      </c>
    </row>
    <row r="8" spans="1:32" s="27" customFormat="1" ht="11.6">
      <c r="A8" s="233" t="s">
        <v>581</v>
      </c>
      <c r="B8" s="263" t="s">
        <v>15</v>
      </c>
      <c r="C8" s="253" t="s">
        <v>47</v>
      </c>
      <c r="D8" s="253" t="s">
        <v>47</v>
      </c>
      <c r="E8" s="253" t="s">
        <v>47</v>
      </c>
      <c r="F8" s="253" t="s">
        <v>47</v>
      </c>
      <c r="G8" s="254">
        <f t="shared" ref="G8:AA8" si="1">G71</f>
        <v>13.741667638049677</v>
      </c>
      <c r="H8" s="254">
        <f t="shared" si="1"/>
        <v>26.501569465958688</v>
      </c>
      <c r="I8" s="254">
        <f t="shared" si="1"/>
        <v>39.7913270952115</v>
      </c>
      <c r="J8" s="254">
        <f t="shared" si="1"/>
        <v>53.627567352758447</v>
      </c>
      <c r="K8" s="254">
        <f t="shared" si="1"/>
        <v>64.708972861196614</v>
      </c>
      <c r="L8" s="254">
        <f t="shared" si="1"/>
        <v>76.232147643786604</v>
      </c>
      <c r="M8" s="254">
        <f t="shared" si="1"/>
        <v>88.210759110213587</v>
      </c>
      <c r="N8" s="254">
        <f t="shared" si="1"/>
        <v>100.65885388111965</v>
      </c>
      <c r="O8" s="254">
        <f t="shared" si="1"/>
        <v>113.59086768763606</v>
      </c>
      <c r="P8" s="254">
        <f t="shared" si="1"/>
        <v>127.02163551946467</v>
      </c>
      <c r="Q8" s="254">
        <f t="shared" si="1"/>
        <v>140.96640202757982</v>
      </c>
      <c r="R8" s="254">
        <f t="shared" si="1"/>
        <v>155.4408321877716</v>
      </c>
      <c r="S8" s="254">
        <f t="shared" si="1"/>
        <v>170.46102223139741</v>
      </c>
      <c r="T8" s="254">
        <f t="shared" si="1"/>
        <v>186.04351084986064</v>
      </c>
      <c r="U8" s="254">
        <f t="shared" si="1"/>
        <v>202.20529067949528</v>
      </c>
      <c r="V8" s="254">
        <f t="shared" si="1"/>
        <v>218.96382007368982</v>
      </c>
      <c r="W8" s="254">
        <f t="shared" si="1"/>
        <v>230.80121272384491</v>
      </c>
      <c r="X8" s="254">
        <f t="shared" si="1"/>
        <v>243.03921282065411</v>
      </c>
      <c r="Y8" s="254">
        <f t="shared" si="1"/>
        <v>255.68942558671802</v>
      </c>
      <c r="Z8" s="254">
        <f t="shared" si="1"/>
        <v>268.76376699610273</v>
      </c>
      <c r="AA8" s="254">
        <f t="shared" si="1"/>
        <v>274.40780610302079</v>
      </c>
    </row>
    <row r="9" spans="1:32" s="27" customFormat="1" ht="11.6">
      <c r="A9" s="197" t="s">
        <v>582</v>
      </c>
      <c r="B9" s="263" t="s">
        <v>15</v>
      </c>
      <c r="C9" s="253" t="s">
        <v>47</v>
      </c>
      <c r="D9" s="253" t="s">
        <v>47</v>
      </c>
      <c r="E9" s="253" t="s">
        <v>47</v>
      </c>
      <c r="F9" s="253" t="s">
        <v>47</v>
      </c>
      <c r="G9" s="255">
        <f t="shared" ref="G9:AA9" si="2">G114+G118</f>
        <v>29.250661912830353</v>
      </c>
      <c r="H9" s="255">
        <f t="shared" si="2"/>
        <v>56.411526535666248</v>
      </c>
      <c r="I9" s="255">
        <f t="shared" si="2"/>
        <v>84.700247930757698</v>
      </c>
      <c r="J9" s="255">
        <f t="shared" si="2"/>
        <v>114.15221814124075</v>
      </c>
      <c r="K9" s="255">
        <f t="shared" si="2"/>
        <v>137.74021739897165</v>
      </c>
      <c r="L9" s="255">
        <f t="shared" si="2"/>
        <v>162.26857149732695</v>
      </c>
      <c r="M9" s="255">
        <f t="shared" si="2"/>
        <v>187.76637303194025</v>
      </c>
      <c r="N9" s="255">
        <f t="shared" si="2"/>
        <v>214.26352179097699</v>
      </c>
      <c r="O9" s="255">
        <f t="shared" si="2"/>
        <v>241.79074582738613</v>
      </c>
      <c r="P9" s="255">
        <f t="shared" si="2"/>
        <v>270.37962306021467</v>
      </c>
      <c r="Q9" s="255">
        <f t="shared" si="2"/>
        <v>300.06260341791221</v>
      </c>
      <c r="R9" s="255">
        <f t="shared" si="2"/>
        <v>330.87303153686332</v>
      </c>
      <c r="S9" s="255">
        <f t="shared" si="2"/>
        <v>362.84517002870319</v>
      </c>
      <c r="T9" s="255">
        <f t="shared" si="2"/>
        <v>396.01422333029262</v>
      </c>
      <c r="U9" s="255">
        <f t="shared" si="2"/>
        <v>430.41636215056587</v>
      </c>
      <c r="V9" s="255">
        <f t="shared" si="2"/>
        <v>466.08874852880223</v>
      </c>
      <c r="W9" s="255">
        <f t="shared" si="2"/>
        <v>491.28595016831537</v>
      </c>
      <c r="X9" s="255">
        <f t="shared" si="2"/>
        <v>517.33588913858682</v>
      </c>
      <c r="Y9" s="255">
        <f t="shared" si="2"/>
        <v>544.26326844158564</v>
      </c>
      <c r="Z9" s="255">
        <f t="shared" si="2"/>
        <v>572.09345254820016</v>
      </c>
      <c r="AA9" s="255">
        <f t="shared" si="2"/>
        <v>584.10741505171234</v>
      </c>
      <c r="AC9" s="27" t="s">
        <v>572</v>
      </c>
    </row>
    <row r="10" spans="1:32" s="27" customFormat="1" ht="11.6">
      <c r="A10" s="197" t="s">
        <v>583</v>
      </c>
      <c r="B10" s="264" t="s">
        <v>15</v>
      </c>
      <c r="C10" s="253" t="s">
        <v>47</v>
      </c>
      <c r="D10" s="253" t="s">
        <v>47</v>
      </c>
      <c r="E10" s="253" t="s">
        <v>47</v>
      </c>
      <c r="F10" s="253" t="s">
        <v>47</v>
      </c>
      <c r="G10" s="256">
        <f t="shared" ref="G10:AA10" si="3">G125</f>
        <v>16.359085656114715</v>
      </c>
      <c r="H10" s="256">
        <f t="shared" si="3"/>
        <v>39.436756907386545</v>
      </c>
      <c r="I10" s="256">
        <f t="shared" si="3"/>
        <v>88.819695887738959</v>
      </c>
      <c r="J10" s="256">
        <f t="shared" si="3"/>
        <v>159.60544072243135</v>
      </c>
      <c r="K10" s="256">
        <f t="shared" si="3"/>
        <v>288.87859291484062</v>
      </c>
      <c r="L10" s="256">
        <f t="shared" si="3"/>
        <v>397.23492909009713</v>
      </c>
      <c r="M10" s="256">
        <f t="shared" si="3"/>
        <v>536.52412389490746</v>
      </c>
      <c r="N10" s="256">
        <f t="shared" si="3"/>
        <v>714.62482044085311</v>
      </c>
      <c r="O10" s="256">
        <f t="shared" si="3"/>
        <v>941.29976952618836</v>
      </c>
      <c r="P10" s="256">
        <f t="shared" si="3"/>
        <v>1228.6287004459384</v>
      </c>
      <c r="Q10" s="256">
        <f t="shared" si="3"/>
        <v>1455.2057476823118</v>
      </c>
      <c r="R10" s="256">
        <f t="shared" si="3"/>
        <v>1712.5360779934476</v>
      </c>
      <c r="S10" s="256">
        <f t="shared" si="3"/>
        <v>2004.3129658745754</v>
      </c>
      <c r="T10" s="256">
        <f t="shared" si="3"/>
        <v>2334.6447434044203</v>
      </c>
      <c r="U10" s="256">
        <f t="shared" si="3"/>
        <v>2708.0995386865466</v>
      </c>
      <c r="V10" s="256">
        <f t="shared" si="3"/>
        <v>2994.9940771354404</v>
      </c>
      <c r="W10" s="256">
        <f t="shared" si="3"/>
        <v>3224.134799866883</v>
      </c>
      <c r="X10" s="256">
        <f t="shared" si="3"/>
        <v>3467.3920790919628</v>
      </c>
      <c r="Y10" s="256">
        <f t="shared" si="3"/>
        <v>3725.554050006434</v>
      </c>
      <c r="Z10" s="256">
        <f t="shared" si="3"/>
        <v>3999.450431852134</v>
      </c>
      <c r="AA10" s="256">
        <f t="shared" si="3"/>
        <v>4170.3985298763246</v>
      </c>
      <c r="AC10" s="27" t="s">
        <v>829</v>
      </c>
    </row>
    <row r="11" spans="1:32" s="27" customFormat="1" ht="11.6">
      <c r="A11" s="197" t="s">
        <v>699</v>
      </c>
      <c r="B11" s="264" t="s">
        <v>15</v>
      </c>
      <c r="C11" s="253" t="s">
        <v>47</v>
      </c>
      <c r="D11" s="253" t="s">
        <v>47</v>
      </c>
      <c r="E11" s="255">
        <f>'Main calculations'!E210+'Main calculations'!E211</f>
        <v>582.76380971033916</v>
      </c>
      <c r="F11" s="255">
        <f>'Main calculations'!F210+'Main calculations'!F211</f>
        <v>596.15112789918567</v>
      </c>
      <c r="G11" s="255">
        <f>G23+G35+G47+SUM('Main calculations'!G210,'Main calculations'!G211)</f>
        <v>1825.3499075221159</v>
      </c>
      <c r="H11" s="255">
        <f>H23+H35+H47+SUM('Main calculations'!H210,'Main calculations'!H211)</f>
        <v>3001.8952623378855</v>
      </c>
      <c r="I11" s="255">
        <f>I23+I35+I47+SUM('Main calculations'!I210,'Main calculations'!I211)</f>
        <v>4270.9835348974284</v>
      </c>
      <c r="J11" s="255">
        <f>J23+J35+J47+SUM('Main calculations'!J210,'Main calculations'!J211)</f>
        <v>5637.3778288250705</v>
      </c>
      <c r="K11" s="255">
        <f>K23+K35+K47+SUM('Main calculations'!K210,'Main calculations'!K211)</f>
        <v>6733.8618124308587</v>
      </c>
      <c r="L11" s="255">
        <f>L23+L35+L47+SUM('Main calculations'!L210,'Main calculations'!L211)</f>
        <v>7909.4350712492733</v>
      </c>
      <c r="M11" s="255">
        <f>M23+M35+M47+SUM('Main calculations'!M210,'Main calculations'!M211)</f>
        <v>9168.4595532808144</v>
      </c>
      <c r="N11" s="255">
        <f>N23+N35+N47+SUM('Main calculations'!N210,'Main calculations'!N211)</f>
        <v>10515.501969054796</v>
      </c>
      <c r="O11" s="255">
        <f>O23+O35+O47+SUM('Main calculations'!O210,'Main calculations'!O211)</f>
        <v>11955.349466215881</v>
      </c>
      <c r="P11" s="255">
        <f>P23+P35+P47+SUM('Main calculations'!P210,'Main calculations'!P211)</f>
        <v>13493.052551239209</v>
      </c>
      <c r="Q11" s="255">
        <f>Q23+Q35+Q47+SUM('Main calculations'!Q210,'Main calculations'!Q211)</f>
        <v>15133.922005620416</v>
      </c>
      <c r="R11" s="255">
        <f>R23+R35+R47+SUM('Main calculations'!R210,'Main calculations'!R211)</f>
        <v>16883.553160381329</v>
      </c>
      <c r="S11" s="255">
        <f>S23+S35+S47+SUM('Main calculations'!S210,'Main calculations'!S211)</f>
        <v>18747.872544432335</v>
      </c>
      <c r="T11" s="255">
        <f>T23+T35+T47+SUM('Main calculations'!T210,'Main calculations'!T211)</f>
        <v>20733.143165553687</v>
      </c>
      <c r="U11" s="255">
        <f>U23+U35+U47+SUM('Main calculations'!U210,'Main calculations'!U211)</f>
        <v>22845.998251696212</v>
      </c>
      <c r="V11" s="255">
        <f>V23+V35+V47+SUM('Main calculations'!V210,'Main calculations'!V211)</f>
        <v>25093.475120718693</v>
      </c>
      <c r="W11" s="255">
        <f>W23+W35+W47+SUM('Main calculations'!W210,'Main calculations'!W211)</f>
        <v>26717.028748753368</v>
      </c>
      <c r="X11" s="255">
        <f>X23+X35+X47+SUM('Main calculations'!X210,'Main calculations'!X211)</f>
        <v>28431.328033284022</v>
      </c>
      <c r="Y11" s="255">
        <f>Y23+Y35+Y47+SUM('Main calculations'!Y210,'Main calculations'!Y211)</f>
        <v>30241.296855951561</v>
      </c>
      <c r="Z11" s="255">
        <f>Z23+Z35+Z47+SUM('Main calculations'!Z210,'Main calculations'!Z211)</f>
        <v>32152.149898808169</v>
      </c>
      <c r="AA11" s="255">
        <f>AA23+AA35+AA47+SUM('Main calculations'!AA210,'Main calculations'!AA211)</f>
        <v>33440.58720789745</v>
      </c>
      <c r="AC11" s="27" t="s">
        <v>963</v>
      </c>
    </row>
    <row r="12" spans="1:32" s="27" customFormat="1" ht="11.6">
      <c r="A12" s="197" t="s">
        <v>197</v>
      </c>
      <c r="B12" s="264" t="s">
        <v>7</v>
      </c>
      <c r="C12" s="253" t="s">
        <v>47</v>
      </c>
      <c r="D12" s="253" t="s">
        <v>47</v>
      </c>
      <c r="E12" s="257">
        <f>100*E11/'Main calculations'!E236</f>
        <v>0.30728058399048686</v>
      </c>
      <c r="F12" s="257">
        <f>100*F11/'Main calculations'!F236</f>
        <v>0.30037216378007164</v>
      </c>
      <c r="G12" s="257">
        <f>100*G11/'Main calculations'!G236</f>
        <v>0.87884079563329009</v>
      </c>
      <c r="H12" s="257">
        <f>100*H11/'Main calculations'!H236</f>
        <v>1.3810849197471717</v>
      </c>
      <c r="I12" s="257">
        <f>100*I11/'Main calculations'!I236</f>
        <v>1.8776451174269302</v>
      </c>
      <c r="J12" s="257">
        <f>100*J11/'Main calculations'!J236</f>
        <v>2.368228076190328</v>
      </c>
      <c r="K12" s="257">
        <f>100*K11/'Main calculations'!K236</f>
        <v>2.7031574931690097</v>
      </c>
      <c r="L12" s="257">
        <f>100*L11/'Main calculations'!L236</f>
        <v>3.0339846717890993</v>
      </c>
      <c r="M12" s="257">
        <f>100*M11/'Main calculations'!M236</f>
        <v>3.3606637217712301</v>
      </c>
      <c r="N12" s="257">
        <f>100*N11/'Main calculations'!N236</f>
        <v>3.6831504618212936</v>
      </c>
      <c r="O12" s="257">
        <f>100*O11/'Main calculations'!O236</f>
        <v>4.0014048528748871</v>
      </c>
      <c r="P12" s="257">
        <f>100*P11/'Main calculations'!P236</f>
        <v>4.315401400384558</v>
      </c>
      <c r="Q12" s="257">
        <f>100*Q11/'Main calculations'!Q236</f>
        <v>4.6251225562193836</v>
      </c>
      <c r="R12" s="257">
        <f>100*R11/'Main calculations'!R236</f>
        <v>4.9305613909683794</v>
      </c>
      <c r="S12" s="257">
        <f>100*S11/'Main calculations'!S236</f>
        <v>5.2317294932455818</v>
      </c>
      <c r="T12" s="257">
        <f>100*T11/'Main calculations'!T236</f>
        <v>5.5286513382704188</v>
      </c>
      <c r="U12" s="257">
        <f>100*U11/'Main calculations'!U236</f>
        <v>5.8213667663586302</v>
      </c>
      <c r="V12" s="257">
        <f>100*V11/'Main calculations'!V236</f>
        <v>6.1099323252414397</v>
      </c>
      <c r="W12" s="257">
        <f>100*W11/'Main calculations'!W236</f>
        <v>6.2161933644716161</v>
      </c>
      <c r="X12" s="257">
        <f>100*X11/'Main calculations'!X236</f>
        <v>6.3211234359770341</v>
      </c>
      <c r="Y12" s="257">
        <f>100*Y11/'Main calculations'!Y236</f>
        <v>6.4247806311803979</v>
      </c>
      <c r="Z12" s="257">
        <f>100*Z11/'Main calculations'!Z236</f>
        <v>6.5272264133052049</v>
      </c>
      <c r="AA12" s="257">
        <f>100*AA11/'Main calculations'!AA236</f>
        <v>6.4871407656641304</v>
      </c>
    </row>
    <row r="13" spans="1:32" s="19" customFormat="1" ht="12" thickBot="1">
      <c r="A13" s="279" t="s">
        <v>571</v>
      </c>
      <c r="B13" s="394" t="s">
        <v>15</v>
      </c>
      <c r="C13" s="259" t="s">
        <v>47</v>
      </c>
      <c r="D13" s="259" t="s">
        <v>47</v>
      </c>
      <c r="E13" s="395">
        <f t="shared" ref="E13:AA13" si="4">SUM(E8:E9,E11,E10)</f>
        <v>582.76380971033916</v>
      </c>
      <c r="F13" s="395">
        <f t="shared" si="4"/>
        <v>596.15112789918567</v>
      </c>
      <c r="G13" s="395">
        <f t="shared" si="4"/>
        <v>1884.7013227291106</v>
      </c>
      <c r="H13" s="395">
        <f t="shared" si="4"/>
        <v>3124.2451152468971</v>
      </c>
      <c r="I13" s="395">
        <f t="shared" si="4"/>
        <v>4484.294805811136</v>
      </c>
      <c r="J13" s="395">
        <f t="shared" si="4"/>
        <v>5964.7630550415006</v>
      </c>
      <c r="K13" s="395">
        <f t="shared" si="4"/>
        <v>7225.1895956058679</v>
      </c>
      <c r="L13" s="395">
        <f t="shared" si="4"/>
        <v>8545.170719480484</v>
      </c>
      <c r="M13" s="395">
        <f t="shared" si="4"/>
        <v>9980.9608093178758</v>
      </c>
      <c r="N13" s="395">
        <f t="shared" si="4"/>
        <v>11545.049165167746</v>
      </c>
      <c r="O13" s="395">
        <f t="shared" si="4"/>
        <v>13252.030849257091</v>
      </c>
      <c r="P13" s="395">
        <f t="shared" si="4"/>
        <v>15119.082510264827</v>
      </c>
      <c r="Q13" s="395">
        <f t="shared" si="4"/>
        <v>17030.15675874822</v>
      </c>
      <c r="R13" s="395">
        <f t="shared" si="4"/>
        <v>19082.403102099412</v>
      </c>
      <c r="S13" s="395">
        <f t="shared" si="4"/>
        <v>21285.491702567011</v>
      </c>
      <c r="T13" s="395">
        <f t="shared" si="4"/>
        <v>23649.845643138262</v>
      </c>
      <c r="U13" s="395">
        <f t="shared" si="4"/>
        <v>26186.71944321282</v>
      </c>
      <c r="V13" s="395">
        <f t="shared" si="4"/>
        <v>28773.521766456626</v>
      </c>
      <c r="W13" s="395">
        <f t="shared" si="4"/>
        <v>30663.25071151241</v>
      </c>
      <c r="X13" s="395">
        <f t="shared" si="4"/>
        <v>32659.095214335226</v>
      </c>
      <c r="Y13" s="395">
        <f t="shared" si="4"/>
        <v>34766.803599986299</v>
      </c>
      <c r="Z13" s="395">
        <f t="shared" si="4"/>
        <v>36992.457550204606</v>
      </c>
      <c r="AA13" s="395">
        <f t="shared" si="4"/>
        <v>38469.500958928504</v>
      </c>
      <c r="AB13" s="387"/>
      <c r="AC13" s="396"/>
    </row>
    <row r="14" spans="1:32" s="19" customFormat="1" ht="11.6">
      <c r="A14" s="26" t="s">
        <v>643</v>
      </c>
      <c r="B14" s="265"/>
      <c r="C14" s="258"/>
      <c r="D14" s="258"/>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C14" s="55"/>
    </row>
    <row r="15" spans="1:32" s="27" customFormat="1" ht="11.6">
      <c r="A15" s="197"/>
      <c r="B15" s="216"/>
      <c r="C15" s="198"/>
      <c r="D15" s="198"/>
      <c r="E15" s="38"/>
      <c r="F15" s="38"/>
      <c r="G15" s="38"/>
      <c r="H15" s="38"/>
      <c r="I15" s="38"/>
      <c r="J15" s="38"/>
      <c r="K15" s="38"/>
      <c r="L15" s="38"/>
      <c r="M15" s="38"/>
      <c r="N15" s="38"/>
      <c r="O15" s="38"/>
      <c r="P15" s="38"/>
      <c r="Q15" s="38"/>
      <c r="R15" s="38"/>
      <c r="S15" s="38"/>
      <c r="T15" s="38"/>
      <c r="U15" s="38"/>
      <c r="V15" s="38"/>
      <c r="W15" s="38"/>
      <c r="X15" s="38"/>
      <c r="Y15" s="38"/>
      <c r="Z15" s="38"/>
      <c r="AA15" s="38"/>
    </row>
    <row r="16" spans="1:32" ht="15.45">
      <c r="A16" s="93" t="s">
        <v>974</v>
      </c>
      <c r="AC16" s="71"/>
      <c r="AD16" s="71"/>
      <c r="AE16" s="71"/>
      <c r="AF16" s="71"/>
    </row>
    <row r="17" spans="1:34" s="27" customFormat="1" ht="15" thickBot="1">
      <c r="A17" s="27" t="s">
        <v>650</v>
      </c>
      <c r="B17" s="230">
        <v>2</v>
      </c>
      <c r="C17" s="27" t="s">
        <v>790</v>
      </c>
      <c r="J17" s="54"/>
      <c r="K17" s="54"/>
      <c r="L17" s="54"/>
      <c r="M17" s="54"/>
      <c r="N17" s="54"/>
      <c r="O17" s="54"/>
      <c r="P17" s="54"/>
      <c r="Q17" s="54"/>
      <c r="R17" s="54"/>
      <c r="S17" s="54"/>
      <c r="T17" s="54"/>
      <c r="U17" s="54"/>
      <c r="V17" s="54"/>
      <c r="W17" s="54"/>
      <c r="X17" s="54"/>
      <c r="Y17" s="54"/>
      <c r="Z17" s="54"/>
      <c r="AA17" s="54"/>
      <c r="AC17" s="38"/>
      <c r="AD17" s="38"/>
      <c r="AE17"/>
      <c r="AF17"/>
      <c r="AG17"/>
      <c r="AH17"/>
    </row>
    <row r="18" spans="1:34" s="27" customFormat="1" ht="69.900000000000006" thickBot="1">
      <c r="A18" s="14"/>
      <c r="B18" s="14" t="s">
        <v>91</v>
      </c>
      <c r="C18" s="15">
        <v>2016</v>
      </c>
      <c r="D18" s="15">
        <v>2017</v>
      </c>
      <c r="E18" s="15">
        <v>2018</v>
      </c>
      <c r="F18" s="15">
        <v>2019</v>
      </c>
      <c r="G18" s="15">
        <v>2020</v>
      </c>
      <c r="H18" s="15">
        <v>2021</v>
      </c>
      <c r="I18" s="15">
        <v>2022</v>
      </c>
      <c r="J18" s="15">
        <v>2023</v>
      </c>
      <c r="K18" s="15">
        <v>2024</v>
      </c>
      <c r="L18" s="15">
        <v>2025</v>
      </c>
      <c r="M18" s="15">
        <v>2026</v>
      </c>
      <c r="N18" s="15">
        <v>2027</v>
      </c>
      <c r="O18" s="15">
        <v>2028</v>
      </c>
      <c r="P18" s="15">
        <v>2029</v>
      </c>
      <c r="Q18" s="15">
        <v>2030</v>
      </c>
      <c r="R18" s="15">
        <v>2031</v>
      </c>
      <c r="S18" s="15">
        <v>2032</v>
      </c>
      <c r="T18" s="15">
        <v>2033</v>
      </c>
      <c r="U18" s="15">
        <v>2034</v>
      </c>
      <c r="V18" s="15">
        <v>2035</v>
      </c>
      <c r="W18" s="15">
        <v>2036</v>
      </c>
      <c r="X18" s="15">
        <v>2037</v>
      </c>
      <c r="Y18" s="15">
        <v>2038</v>
      </c>
      <c r="Z18" s="15">
        <v>2039</v>
      </c>
      <c r="AA18" s="15">
        <v>2040</v>
      </c>
      <c r="AB18" s="292"/>
      <c r="AC18" s="15" t="s">
        <v>832</v>
      </c>
      <c r="AD18" s="15" t="s">
        <v>830</v>
      </c>
      <c r="AE18" s="15" t="s">
        <v>833</v>
      </c>
      <c r="AF18" s="15" t="s">
        <v>831</v>
      </c>
      <c r="AG18"/>
      <c r="AH18"/>
    </row>
    <row r="19" spans="1:34" s="19" customFormat="1">
      <c r="A19" s="25" t="s">
        <v>518</v>
      </c>
      <c r="B19" s="265" t="s">
        <v>15</v>
      </c>
      <c r="C19" s="258" t="s">
        <v>47</v>
      </c>
      <c r="D19" s="258" t="s">
        <v>47</v>
      </c>
      <c r="E19" s="258" t="s">
        <v>47</v>
      </c>
      <c r="F19" s="258" t="s">
        <v>47</v>
      </c>
      <c r="G19" s="277">
        <f t="shared" ref="G19:AA19" si="5">SUM(G21,G22,G23)</f>
        <v>1034.0823535821132</v>
      </c>
      <c r="H19" s="277">
        <f t="shared" si="5"/>
        <v>1103.6684437720903</v>
      </c>
      <c r="I19" s="277">
        <f t="shared" si="5"/>
        <v>1167.0100964435417</v>
      </c>
      <c r="J19" s="277">
        <f t="shared" si="5"/>
        <v>1228.0989083959594</v>
      </c>
      <c r="K19" s="277">
        <f t="shared" si="5"/>
        <v>1330.71429672212</v>
      </c>
      <c r="L19" s="277">
        <f t="shared" si="5"/>
        <v>1419.8520044549607</v>
      </c>
      <c r="M19" s="277">
        <f t="shared" si="5"/>
        <v>1509.8571654721161</v>
      </c>
      <c r="N19" s="277">
        <f t="shared" si="5"/>
        <v>1602.2258229847212</v>
      </c>
      <c r="O19" s="277">
        <f t="shared" si="5"/>
        <v>1698.2382251619138</v>
      </c>
      <c r="P19" s="277">
        <f t="shared" si="5"/>
        <v>1799.0961626247201</v>
      </c>
      <c r="Q19" s="277">
        <f t="shared" si="5"/>
        <v>1889.6469557468427</v>
      </c>
      <c r="R19" s="277">
        <f t="shared" si="5"/>
        <v>1982.9261863757342</v>
      </c>
      <c r="S19" s="277">
        <f t="shared" si="5"/>
        <v>2079.3304916682873</v>
      </c>
      <c r="T19" s="277">
        <f t="shared" si="5"/>
        <v>2179.230902687319</v>
      </c>
      <c r="U19" s="277">
        <f t="shared" si="5"/>
        <v>2282.9867706481941</v>
      </c>
      <c r="V19" s="277">
        <f t="shared" si="5"/>
        <v>2379.404829997588</v>
      </c>
      <c r="W19" s="277">
        <f t="shared" si="5"/>
        <v>2520.2892356601114</v>
      </c>
      <c r="X19" s="277">
        <f t="shared" si="5"/>
        <v>2668.4154972655601</v>
      </c>
      <c r="Y19" s="277">
        <f t="shared" si="5"/>
        <v>2824.1516526968426</v>
      </c>
      <c r="Z19" s="277">
        <f t="shared" si="5"/>
        <v>2987.8874913763143</v>
      </c>
      <c r="AA19" s="277">
        <f t="shared" si="5"/>
        <v>3102.1943731607157</v>
      </c>
      <c r="AC19" s="280">
        <f>ROUND('NPV calculations'!B18,-2)</f>
        <v>17200</v>
      </c>
      <c r="AD19" s="349">
        <f>AC19/AC$51</f>
        <v>0.11934842576326256</v>
      </c>
      <c r="AE19" s="280">
        <f>'NPV calculations'!C18</f>
        <v>1206.0379428627966</v>
      </c>
      <c r="AF19" s="349">
        <f>AE19/AE$51</f>
        <v>0.11952629408305039</v>
      </c>
      <c r="AG19"/>
      <c r="AH19"/>
    </row>
    <row r="20" spans="1:34" s="27" customFormat="1">
      <c r="A20" s="197" t="s">
        <v>88</v>
      </c>
      <c r="B20" s="263" t="s">
        <v>7</v>
      </c>
      <c r="C20" s="253" t="s">
        <v>47</v>
      </c>
      <c r="D20" s="253" t="s">
        <v>47</v>
      </c>
      <c r="E20" s="253" t="s">
        <v>47</v>
      </c>
      <c r="F20" s="253" t="s">
        <v>47</v>
      </c>
      <c r="G20" s="260">
        <f t="shared" ref="G20:AA20" si="6">$G$60/100*G62</f>
        <v>2.25</v>
      </c>
      <c r="H20" s="260">
        <f t="shared" si="6"/>
        <v>2.25</v>
      </c>
      <c r="I20" s="260">
        <f t="shared" si="6"/>
        <v>2.25</v>
      </c>
      <c r="J20" s="260">
        <f t="shared" si="6"/>
        <v>2.25</v>
      </c>
      <c r="K20" s="260">
        <f t="shared" si="6"/>
        <v>2.25</v>
      </c>
      <c r="L20" s="260">
        <f t="shared" si="6"/>
        <v>2.25</v>
      </c>
      <c r="M20" s="260">
        <f t="shared" si="6"/>
        <v>2.25</v>
      </c>
      <c r="N20" s="260">
        <f t="shared" si="6"/>
        <v>2.25</v>
      </c>
      <c r="O20" s="260">
        <f t="shared" si="6"/>
        <v>2.25</v>
      </c>
      <c r="P20" s="260">
        <f t="shared" si="6"/>
        <v>2.25</v>
      </c>
      <c r="Q20" s="260">
        <f t="shared" si="6"/>
        <v>2.25</v>
      </c>
      <c r="R20" s="260">
        <f t="shared" si="6"/>
        <v>2.25</v>
      </c>
      <c r="S20" s="260">
        <f t="shared" si="6"/>
        <v>2.25</v>
      </c>
      <c r="T20" s="260">
        <f t="shared" si="6"/>
        <v>2.25</v>
      </c>
      <c r="U20" s="260">
        <f t="shared" si="6"/>
        <v>2.25</v>
      </c>
      <c r="V20" s="260">
        <f t="shared" si="6"/>
        <v>2.25</v>
      </c>
      <c r="W20" s="260">
        <f t="shared" si="6"/>
        <v>2.25</v>
      </c>
      <c r="X20" s="260">
        <f t="shared" si="6"/>
        <v>2.25</v>
      </c>
      <c r="Y20" s="260">
        <f t="shared" si="6"/>
        <v>2.25</v>
      </c>
      <c r="Z20" s="260">
        <f t="shared" si="6"/>
        <v>2.25</v>
      </c>
      <c r="AA20" s="260">
        <f t="shared" si="6"/>
        <v>2.25</v>
      </c>
      <c r="AG20"/>
      <c r="AH20"/>
    </row>
    <row r="21" spans="1:34" s="27" customFormat="1" ht="14.7" customHeight="1">
      <c r="A21" s="197" t="s">
        <v>581</v>
      </c>
      <c r="B21" s="263" t="s">
        <v>15</v>
      </c>
      <c r="C21" s="253" t="s">
        <v>47</v>
      </c>
      <c r="D21" s="253" t="s">
        <v>47</v>
      </c>
      <c r="E21" s="253" t="s">
        <v>47</v>
      </c>
      <c r="F21" s="253" t="s">
        <v>47</v>
      </c>
      <c r="G21" s="260">
        <f t="shared" ref="G21:AA21" si="7">G8*G23/(G23+G35)</f>
        <v>13.741667638049677</v>
      </c>
      <c r="H21" s="260">
        <f t="shared" si="7"/>
        <v>14.542984744447038</v>
      </c>
      <c r="I21" s="260">
        <f t="shared" si="7"/>
        <v>15.046342770396086</v>
      </c>
      <c r="J21" s="260">
        <f t="shared" si="7"/>
        <v>15.468552184553628</v>
      </c>
      <c r="K21" s="260">
        <f t="shared" si="7"/>
        <v>16.449674736968191</v>
      </c>
      <c r="L21" s="260">
        <f t="shared" si="7"/>
        <v>17.323004159914237</v>
      </c>
      <c r="M21" s="260">
        <f t="shared" si="7"/>
        <v>18.122365935150818</v>
      </c>
      <c r="N21" s="260">
        <f t="shared" si="7"/>
        <v>18.869814713373707</v>
      </c>
      <c r="O21" s="260">
        <f t="shared" si="7"/>
        <v>19.580372516030796</v>
      </c>
      <c r="P21" s="260">
        <f t="shared" si="7"/>
        <v>20.264649451268394</v>
      </c>
      <c r="Q21" s="260">
        <f t="shared" si="7"/>
        <v>20.930374446249559</v>
      </c>
      <c r="R21" s="260">
        <f t="shared" si="7"/>
        <v>21.583330619151816</v>
      </c>
      <c r="S21" s="260">
        <f t="shared" si="7"/>
        <v>22.227949011663085</v>
      </c>
      <c r="T21" s="260">
        <f t="shared" si="7"/>
        <v>22.867697921444677</v>
      </c>
      <c r="U21" s="260">
        <f t="shared" si="7"/>
        <v>23.505345487862119</v>
      </c>
      <c r="V21" s="260">
        <f t="shared" si="7"/>
        <v>24.143141204646842</v>
      </c>
      <c r="W21" s="260">
        <f t="shared" si="7"/>
        <v>25.434777197132721</v>
      </c>
      <c r="X21" s="260">
        <f t="shared" si="7"/>
        <v>26.769161172134311</v>
      </c>
      <c r="Y21" s="260">
        <f t="shared" si="7"/>
        <v>28.147502399982503</v>
      </c>
      <c r="Z21" s="260">
        <f t="shared" si="7"/>
        <v>29.57104176750974</v>
      </c>
      <c r="AA21" s="260">
        <f t="shared" si="7"/>
        <v>30.19203364462744</v>
      </c>
      <c r="AG21"/>
      <c r="AH21"/>
    </row>
    <row r="22" spans="1:34" s="27" customFormat="1" ht="14.7" customHeight="1">
      <c r="A22" s="197" t="s">
        <v>84</v>
      </c>
      <c r="B22" s="264" t="s">
        <v>15</v>
      </c>
      <c r="C22" s="253" t="s">
        <v>47</v>
      </c>
      <c r="D22" s="253" t="s">
        <v>47</v>
      </c>
      <c r="E22" s="253" t="s">
        <v>47</v>
      </c>
      <c r="F22" s="253" t="s">
        <v>47</v>
      </c>
      <c r="G22" s="256">
        <f>('Main calculations'!G62*5/100)*'Main calculations'!G129/100*'Main calculations'!G229*(1+'Main calculations'!$C$131)</f>
        <v>16.359085656114715</v>
      </c>
      <c r="H22" s="256">
        <f>('Main calculations'!H62*'Main calculations'!$G$60/100)*'Main calculations'!H129/100*'Main calculations'!H229*(1+'Main calculations'!$C$131)</f>
        <v>20.878283068616401</v>
      </c>
      <c r="I22" s="256">
        <f>('Main calculations'!I62*'Main calculations'!$G$60/100)*'Main calculations'!I129/100*'Main calculations'!I229*(1+'Main calculations'!$C$131)</f>
        <v>31.975090519586022</v>
      </c>
      <c r="J22" s="256">
        <f>('Main calculations'!J62*'Main calculations'!$G$60/100)*'Main calculations'!J129/100*'Main calculations'!J229*(1+'Main calculations'!$C$131)</f>
        <v>43.528756560663098</v>
      </c>
      <c r="K22" s="256">
        <f>('Main calculations'!K62*'Main calculations'!$G$60/100)*'Main calculations'!K129/100*'Main calculations'!K229*(1+'Main calculations'!$C$131)</f>
        <v>66.664290672655525</v>
      </c>
      <c r="L22" s="256">
        <f>('Main calculations'!L62*'Main calculations'!$G$60/100)*'Main calculations'!L129/100*'Main calculations'!L229*(1+'Main calculations'!$C$131)</f>
        <v>79.446985818019428</v>
      </c>
      <c r="M22" s="256">
        <f>('Main calculations'!M62*'Main calculations'!$G$60/100)*'Main calculations'!M129/100*'Main calculations'!M229*(1+'Main calculations'!$C$131)</f>
        <v>94.680727746160116</v>
      </c>
      <c r="N22" s="256">
        <f>('Main calculations'!N62*'Main calculations'!$G$60/100)*'Main calculations'!N129/100*'Main calculations'!N229*(1+'Main calculations'!$C$131)</f>
        <v>112.83549796434522</v>
      </c>
      <c r="O22" s="256">
        <f>('Main calculations'!O62*'Main calculations'!$G$60/100)*'Main calculations'!O129/100*'Main calculations'!O229*(1+'Main calculations'!$C$131)</f>
        <v>134.47139564659832</v>
      </c>
      <c r="P22" s="256">
        <f>('Main calculations'!P62*'Main calculations'!$G$60/100)*'Main calculations'!P129/100*'Main calculations'!P229*(1+'Main calculations'!$C$131)</f>
        <v>160.25591744947027</v>
      </c>
      <c r="Q22" s="256">
        <f>('Main calculations'!Q62*'Main calculations'!$G$60/100)*'Main calculations'!Q129/100*'Main calculations'!Q229*(1+'Main calculations'!$C$131)</f>
        <v>174.62468972187736</v>
      </c>
      <c r="R22" s="256">
        <f>('Main calculations'!R62*'Main calculations'!$G$60/100)*'Main calculations'!R129/100*'Main calculations'!R229*(1+'Main calculations'!$C$131)</f>
        <v>190.28178644371636</v>
      </c>
      <c r="S22" s="256">
        <f>('Main calculations'!S62*'Main calculations'!$G$60/100)*'Main calculations'!S129/100*'Main calculations'!S229*(1+'Main calculations'!$C$131)</f>
        <v>207.34272060771471</v>
      </c>
      <c r="T22" s="256">
        <f>('Main calculations'!T62*'Main calculations'!$G$60/100)*'Main calculations'!T129/100*'Main calculations'!T229*(1+'Main calculations'!$C$131)</f>
        <v>225.93336226494387</v>
      </c>
      <c r="U22" s="256">
        <f>('Main calculations'!U62*'Main calculations'!$G$60/100)*'Main calculations'!U129/100*'Main calculations'!U229*(1+'Main calculations'!$C$131)</f>
        <v>246.19086715332239</v>
      </c>
      <c r="V22" s="256">
        <f>('Main calculations'!V62*'Main calculations'!$G$60/100)*'Main calculations'!V129/100*'Main calculations'!V229*(1+'Main calculations'!$C$131)</f>
        <v>256.71377804018067</v>
      </c>
      <c r="W22" s="256">
        <f>('Main calculations'!W62*'Main calculations'!$G$60/100)*'Main calculations'!W129/100*'Main calculations'!W229*(1+'Main calculations'!$C$131)</f>
        <v>267.6864686236342</v>
      </c>
      <c r="X22" s="256">
        <f>('Main calculations'!X62*'Main calculations'!$G$60/100)*'Main calculations'!X129/100*'Main calculations'!X229*(1+'Main calculations'!$C$131)</f>
        <v>279.12816379094511</v>
      </c>
      <c r="Y22" s="256">
        <f>('Main calculations'!Y62*'Main calculations'!$G$60/100)*'Main calculations'!Y129/100*'Main calculations'!Y229*(1+'Main calculations'!$C$131)</f>
        <v>291.05891015675263</v>
      </c>
      <c r="Z22" s="256">
        <f>('Main calculations'!Z62*'Main calculations'!$G$60/100)*'Main calculations'!Z129/100*'Main calculations'!Z229*(1+'Main calculations'!$C$131)</f>
        <v>303.49961118608093</v>
      </c>
      <c r="AA22" s="256">
        <f>('Main calculations'!AA62*'Main calculations'!$G$60/100)*'Main calculations'!AA129/100*'Main calculations'!AA229*(1+'Main calculations'!$C$131)</f>
        <v>316.47206381860815</v>
      </c>
      <c r="AB22" s="68"/>
      <c r="AG22"/>
      <c r="AH22"/>
    </row>
    <row r="23" spans="1:34" s="27" customFormat="1">
      <c r="A23" s="197" t="s">
        <v>191</v>
      </c>
      <c r="B23" s="263" t="s">
        <v>15</v>
      </c>
      <c r="C23" s="253" t="s">
        <v>47</v>
      </c>
      <c r="D23" s="253" t="s">
        <v>47</v>
      </c>
      <c r="E23" s="253" t="s">
        <v>47</v>
      </c>
      <c r="F23" s="253" t="s">
        <v>47</v>
      </c>
      <c r="G23" s="260">
        <f t="shared" ref="G23:AA23" si="8">SUM(G24,G28)</f>
        <v>1003.9816002879488</v>
      </c>
      <c r="H23" s="260">
        <f t="shared" si="8"/>
        <v>1068.2471759590269</v>
      </c>
      <c r="I23" s="260">
        <f t="shared" si="8"/>
        <v>1119.9886631535596</v>
      </c>
      <c r="J23" s="260">
        <f t="shared" si="8"/>
        <v>1169.1015996507426</v>
      </c>
      <c r="K23" s="260">
        <f t="shared" si="8"/>
        <v>1247.6003313124963</v>
      </c>
      <c r="L23" s="260">
        <f t="shared" si="8"/>
        <v>1323.0820144770271</v>
      </c>
      <c r="M23" s="260">
        <f t="shared" si="8"/>
        <v>1397.0540717908052</v>
      </c>
      <c r="N23" s="260">
        <f t="shared" si="8"/>
        <v>1470.5205103070023</v>
      </c>
      <c r="O23" s="260">
        <f t="shared" si="8"/>
        <v>1544.1864569992847</v>
      </c>
      <c r="P23" s="260">
        <f t="shared" si="8"/>
        <v>1618.5755957239815</v>
      </c>
      <c r="Q23" s="260">
        <f t="shared" si="8"/>
        <v>1694.0918915787158</v>
      </c>
      <c r="R23" s="260">
        <f t="shared" si="8"/>
        <v>1771.061069312866</v>
      </c>
      <c r="S23" s="260">
        <f t="shared" si="8"/>
        <v>1849.7598220489094</v>
      </c>
      <c r="T23" s="260">
        <f t="shared" si="8"/>
        <v>1930.4298425009304</v>
      </c>
      <c r="U23" s="260">
        <f t="shared" si="8"/>
        <v>2013.2905580070096</v>
      </c>
      <c r="V23" s="260">
        <f t="shared" si="8"/>
        <v>2098.5479107527603</v>
      </c>
      <c r="W23" s="260">
        <f t="shared" si="8"/>
        <v>2227.1679898393445</v>
      </c>
      <c r="X23" s="260">
        <f t="shared" si="8"/>
        <v>2362.5181723024807</v>
      </c>
      <c r="Y23" s="260">
        <f t="shared" si="8"/>
        <v>2504.9452401401072</v>
      </c>
      <c r="Z23" s="260">
        <f t="shared" si="8"/>
        <v>2654.8168384227238</v>
      </c>
      <c r="AA23" s="260">
        <f t="shared" si="8"/>
        <v>2755.5302756974802</v>
      </c>
      <c r="AB23" s="68"/>
      <c r="AG23"/>
      <c r="AH23"/>
    </row>
    <row r="24" spans="1:34" s="27" customFormat="1">
      <c r="A24" s="197" t="s">
        <v>837</v>
      </c>
      <c r="B24" s="264" t="s">
        <v>15</v>
      </c>
      <c r="C24" s="253" t="s">
        <v>47</v>
      </c>
      <c r="D24" s="253" t="s">
        <v>47</v>
      </c>
      <c r="E24" s="253" t="s">
        <v>47</v>
      </c>
      <c r="F24" s="253" t="s">
        <v>47</v>
      </c>
      <c r="G24" s="256">
        <f t="shared" ref="G24:AA24" si="9">SUM(G25:G27)</f>
        <v>864.92807938293117</v>
      </c>
      <c r="H24" s="256">
        <f t="shared" si="9"/>
        <v>917.40958461829837</v>
      </c>
      <c r="I24" s="256">
        <f t="shared" si="9"/>
        <v>960.03268275776986</v>
      </c>
      <c r="J24" s="256">
        <f t="shared" si="9"/>
        <v>1000.5500739058755</v>
      </c>
      <c r="K24" s="256">
        <f t="shared" si="9"/>
        <v>1063.8814353466398</v>
      </c>
      <c r="L24" s="256">
        <f t="shared" si="9"/>
        <v>1124.7772210018813</v>
      </c>
      <c r="M24" s="256">
        <f t="shared" si="9"/>
        <v>1184.41729095236</v>
      </c>
      <c r="N24" s="256">
        <f t="shared" si="9"/>
        <v>1243.5838708222111</v>
      </c>
      <c r="O24" s="256">
        <f t="shared" si="9"/>
        <v>1302.8230518172627</v>
      </c>
      <c r="P24" s="256">
        <f t="shared" si="9"/>
        <v>1362.5384008954115</v>
      </c>
      <c r="Q24" s="256">
        <f t="shared" si="9"/>
        <v>1423.0387448731096</v>
      </c>
      <c r="R24" s="256">
        <f t="shared" si="9"/>
        <v>1484.5711075311676</v>
      </c>
      <c r="S24" s="256">
        <f t="shared" si="9"/>
        <v>1547.3444739751694</v>
      </c>
      <c r="T24" s="256">
        <f t="shared" si="9"/>
        <v>1611.5402292074493</v>
      </c>
      <c r="U24" s="256">
        <f t="shared" si="9"/>
        <v>1677.3224475893026</v>
      </c>
      <c r="V24" s="256">
        <f t="shared" si="9"/>
        <v>1744.8449600627671</v>
      </c>
      <c r="W24" s="256">
        <f t="shared" si="9"/>
        <v>1845.2357351557164</v>
      </c>
      <c r="X24" s="256">
        <f t="shared" si="9"/>
        <v>1950.5092205293354</v>
      </c>
      <c r="Y24" s="256">
        <f t="shared" si="9"/>
        <v>2060.9020183887528</v>
      </c>
      <c r="Z24" s="256">
        <f t="shared" si="9"/>
        <v>2176.6653682305873</v>
      </c>
      <c r="AA24" s="256">
        <f t="shared" si="9"/>
        <v>2255.1447621414095</v>
      </c>
      <c r="AB24" s="68"/>
      <c r="AG24"/>
      <c r="AH24"/>
    </row>
    <row r="25" spans="1:34" s="27" customFormat="1">
      <c r="A25" s="197" t="s">
        <v>838</v>
      </c>
      <c r="B25" s="264" t="s">
        <v>15</v>
      </c>
      <c r="C25" s="253" t="s">
        <v>47</v>
      </c>
      <c r="D25" s="253" t="s">
        <v>47</v>
      </c>
      <c r="E25" s="253" t="s">
        <v>47</v>
      </c>
      <c r="F25" s="253" t="s">
        <v>47</v>
      </c>
      <c r="G25" s="256">
        <f>5/100*'Main calculations'!G226*(G156-G158)/1000</f>
        <v>362.11244879497616</v>
      </c>
      <c r="H25" s="256">
        <f>$G$60/100*'Main calculations'!H226*(H156-H158)/1000</f>
        <v>375.73443347836911</v>
      </c>
      <c r="I25" s="256">
        <f>$G$60/100*'Main calculations'!I226*(I156-I158)/1000</f>
        <v>389.73680587245843</v>
      </c>
      <c r="J25" s="256">
        <f>$G$60/100*'Main calculations'!J226*(J156-J158)/1000</f>
        <v>404.11605113217217</v>
      </c>
      <c r="K25" s="256">
        <f>$G$60/100*'Main calculations'!K226*(K156-K158)/1000</f>
        <v>418.86989928920127</v>
      </c>
      <c r="L25" s="256">
        <f>$G$60/100*'Main calculations'!L226*(L156-L158)/1000</f>
        <v>434.09438794660645</v>
      </c>
      <c r="M25" s="256">
        <f>$G$60/100*'Main calculations'!M226*(M156-M158)/1000</f>
        <v>449.79939082552534</v>
      </c>
      <c r="N25" s="256">
        <f>$G$60/100*'Main calculations'!N226*(N156-N158)/1000</f>
        <v>465.99527851595781</v>
      </c>
      <c r="O25" s="256">
        <f>$G$60/100*'Main calculations'!O226*(O156-O158)/1000</f>
        <v>482.69316467100344</v>
      </c>
      <c r="P25" s="256">
        <f>$G$60/100*'Main calculations'!P226*(P156-P158)/1000</f>
        <v>499.90659571338216</v>
      </c>
      <c r="Q25" s="256">
        <f>$G$60/100*'Main calculations'!Q226*(Q156-Q158)/1000</f>
        <v>517.6499443904828</v>
      </c>
      <c r="R25" s="256">
        <f>$G$60/100*'Main calculations'!R226*(R156-R158)/1000</f>
        <v>535.93883500597349</v>
      </c>
      <c r="S25" s="256">
        <f>$G$60/100*'Main calculations'!S226*(S156-S158)/1000</f>
        <v>554.7914155428457</v>
      </c>
      <c r="T25" s="256">
        <f>$G$60/100*'Main calculations'!T226*(T156-T158)/1000</f>
        <v>574.22730694506549</v>
      </c>
      <c r="U25" s="256">
        <f>$G$60/100*'Main calculations'!U226*(U156-U158)/1000</f>
        <v>594.26806867929929</v>
      </c>
      <c r="V25" s="256">
        <f>$G$60/100*'Main calculations'!V226*(V156-V158)/1000</f>
        <v>614.93748266202556</v>
      </c>
      <c r="W25" s="256">
        <f>$G$60/100*'Main calculations'!W226*(W156-W158)/1000</f>
        <v>636.26040973859961</v>
      </c>
      <c r="X25" s="256">
        <f>$G$60/100*'Main calculations'!X226*(X156-X158)/1000</f>
        <v>658.26310654305655</v>
      </c>
      <c r="Y25" s="256">
        <f>$G$60/100*'Main calculations'!Y226*(Y156-Y158)/1000</f>
        <v>680.97237656086645</v>
      </c>
      <c r="Z25" s="256">
        <f>$G$60/100*'Main calculations'!Z226*(Z156-Z158)/1000</f>
        <v>704.4167595030998</v>
      </c>
      <c r="AA25" s="256">
        <f>$G$60/100*'Main calculations'!AA226*(AA156-AA158)/1000</f>
        <v>728.62826090134422</v>
      </c>
      <c r="AB25" s="68"/>
      <c r="AG25"/>
      <c r="AH25"/>
    </row>
    <row r="26" spans="1:34" s="27" customFormat="1">
      <c r="A26" s="197" t="s">
        <v>839</v>
      </c>
      <c r="B26" s="264" t="s">
        <v>15</v>
      </c>
      <c r="C26" s="253" t="s">
        <v>47</v>
      </c>
      <c r="D26" s="253" t="s">
        <v>47</v>
      </c>
      <c r="E26" s="253" t="s">
        <v>47</v>
      </c>
      <c r="F26" s="253" t="s">
        <v>47</v>
      </c>
      <c r="G26" s="256">
        <f t="shared" ref="G26:AA26" si="10">G176*(G25/(G25+G37))</f>
        <v>35.522407163405894</v>
      </c>
      <c r="H26" s="256">
        <f t="shared" si="10"/>
        <v>39.083360151546586</v>
      </c>
      <c r="I26" s="256">
        <f t="shared" si="10"/>
        <v>42.02401848117762</v>
      </c>
      <c r="J26" s="256">
        <f t="shared" si="10"/>
        <v>44.883718535172605</v>
      </c>
      <c r="K26" s="256">
        <f t="shared" si="10"/>
        <v>49.568683783287881</v>
      </c>
      <c r="L26" s="256">
        <f t="shared" si="10"/>
        <v>54.202105544635785</v>
      </c>
      <c r="M26" s="256">
        <f t="shared" si="10"/>
        <v>58.868150576063506</v>
      </c>
      <c r="N26" s="256">
        <f t="shared" si="10"/>
        <v>63.6258566355543</v>
      </c>
      <c r="O26" s="256">
        <f t="shared" si="10"/>
        <v>68.519541174246243</v>
      </c>
      <c r="P26" s="256">
        <f t="shared" si="10"/>
        <v>73.584808916644945</v>
      </c>
      <c r="Q26" s="256">
        <f t="shared" si="10"/>
        <v>78.851730822461576</v>
      </c>
      <c r="R26" s="256">
        <f t="shared" si="10"/>
        <v>84.34699391933222</v>
      </c>
      <c r="S26" s="256">
        <f t="shared" si="10"/>
        <v>90.095458369967076</v>
      </c>
      <c r="T26" s="256">
        <f t="shared" si="10"/>
        <v>96.120920122820777</v>
      </c>
      <c r="U26" s="256">
        <f t="shared" si="10"/>
        <v>102.44682956045801</v>
      </c>
      <c r="V26" s="256">
        <f t="shared" si="10"/>
        <v>109.09681842022034</v>
      </c>
      <c r="W26" s="256">
        <f t="shared" si="10"/>
        <v>119.14835226466569</v>
      </c>
      <c r="X26" s="256">
        <f t="shared" si="10"/>
        <v>129.98622659239618</v>
      </c>
      <c r="Y26" s="256">
        <f t="shared" si="10"/>
        <v>141.66751503900161</v>
      </c>
      <c r="Z26" s="256">
        <f t="shared" si="10"/>
        <v>154.25351805281366</v>
      </c>
      <c r="AA26" s="256">
        <f t="shared" si="10"/>
        <v>163.22061448089812</v>
      </c>
      <c r="AB26" s="68"/>
      <c r="AC26" s="73"/>
      <c r="AD26" s="73"/>
      <c r="AE26"/>
      <c r="AF26" s="73"/>
      <c r="AG26"/>
      <c r="AH26"/>
    </row>
    <row r="27" spans="1:34" s="27" customFormat="1">
      <c r="A27" s="197" t="s">
        <v>840</v>
      </c>
      <c r="B27" s="264" t="s">
        <v>15</v>
      </c>
      <c r="C27" s="253" t="s">
        <v>47</v>
      </c>
      <c r="D27" s="253" t="s">
        <v>47</v>
      </c>
      <c r="E27" s="253" t="s">
        <v>47</v>
      </c>
      <c r="F27" s="253" t="s">
        <v>47</v>
      </c>
      <c r="G27" s="256">
        <f>'Main calculations'!G164*(G25/(G37+G25))</f>
        <v>467.29322342454918</v>
      </c>
      <c r="H27" s="256">
        <f>'Main calculations'!H164*(H25/(H37+H25))</f>
        <v>502.59179098838268</v>
      </c>
      <c r="I27" s="256">
        <f>'Main calculations'!I164*(I25/(I37+I25))</f>
        <v>528.27185840413381</v>
      </c>
      <c r="J27" s="256">
        <f>'Main calculations'!J164*(J25/(J37+J25))</f>
        <v>551.55030423853077</v>
      </c>
      <c r="K27" s="256">
        <f>'Main calculations'!K164*(K25/(K37+K25))</f>
        <v>595.4428522741506</v>
      </c>
      <c r="L27" s="256">
        <f>'Main calculations'!L164*(L25/(L37+L25))</f>
        <v>636.4807275106391</v>
      </c>
      <c r="M27" s="256">
        <f>'Main calculations'!M164*(M25/(M37+M25))</f>
        <v>675.74974955077107</v>
      </c>
      <c r="N27" s="256">
        <f>'Main calculations'!N164*(N25/(N37+N25))</f>
        <v>713.96273567069898</v>
      </c>
      <c r="O27" s="256">
        <f>'Main calculations'!O164*(O25/(O37+O25))</f>
        <v>751.61034597201308</v>
      </c>
      <c r="P27" s="256">
        <f>'Main calculations'!P164*(P25/(P37+P25))</f>
        <v>789.04699626538456</v>
      </c>
      <c r="Q27" s="256">
        <f>'Main calculations'!Q164*(Q25/(Q37+Q25))</f>
        <v>826.53706966016523</v>
      </c>
      <c r="R27" s="256">
        <f>'Main calculations'!R164*(R25/(R37+R25))</f>
        <v>864.28527860586189</v>
      </c>
      <c r="S27" s="256">
        <f>'Main calculations'!S164*(S25/(S37+S25))</f>
        <v>902.45760006235651</v>
      </c>
      <c r="T27" s="256">
        <f>'Main calculations'!T164*(T25/(T37+T25))</f>
        <v>941.1920021395631</v>
      </c>
      <c r="U27" s="256">
        <f>'Main calculations'!U164*(U25/(U37+U25))</f>
        <v>980.60754934954525</v>
      </c>
      <c r="V27" s="256">
        <f>'Main calculations'!V164*(V25/(V37+V25))</f>
        <v>1020.8106589805212</v>
      </c>
      <c r="W27" s="256">
        <f>'Main calculations'!W164*(W25/(W37+W25))</f>
        <v>1089.826973152451</v>
      </c>
      <c r="X27" s="256">
        <f>'Main calculations'!X164*(X25/(X37+X25))</f>
        <v>1162.2598873938828</v>
      </c>
      <c r="Y27" s="256">
        <f>'Main calculations'!Y164*(Y25/(Y37+Y25))</f>
        <v>1238.2621267888846</v>
      </c>
      <c r="Z27" s="256">
        <f>'Main calculations'!Z164*(Z25/(Z37+Z25))</f>
        <v>1317.9950906746737</v>
      </c>
      <c r="AA27" s="256">
        <f>'Main calculations'!AA164*(AA25/(AA37+AA25))</f>
        <v>1363.2958867591672</v>
      </c>
      <c r="AB27" s="68"/>
      <c r="AG27"/>
      <c r="AH27"/>
    </row>
    <row r="28" spans="1:34" s="27" customFormat="1">
      <c r="A28" s="197" t="s">
        <v>841</v>
      </c>
      <c r="B28" s="264" t="s">
        <v>15</v>
      </c>
      <c r="C28" s="253" t="s">
        <v>47</v>
      </c>
      <c r="D28" s="253" t="s">
        <v>47</v>
      </c>
      <c r="E28" s="253" t="s">
        <v>47</v>
      </c>
      <c r="F28" s="253" t="s">
        <v>47</v>
      </c>
      <c r="G28" s="256">
        <f>'Main calculations'!$C$244*'Main calculations'!G202*'Main calculations'!G59/100*(G25/(G37+G25))</f>
        <v>139.05352090501771</v>
      </c>
      <c r="H28" s="256">
        <f>'Main calculations'!$C$244*'Main calculations'!H202*'Main calculations'!H59/100*(H25/(H37+H25))</f>
        <v>150.83759134072849</v>
      </c>
      <c r="I28" s="256">
        <f>'Main calculations'!$C$244*'Main calculations'!I202*'Main calculations'!I59/100*(I25/(I37+I25))</f>
        <v>159.95598039578968</v>
      </c>
      <c r="J28" s="256">
        <f>'Main calculations'!$C$244*'Main calculations'!J202*'Main calculations'!J59/100*(J25/(J37+J25))</f>
        <v>168.55152574486721</v>
      </c>
      <c r="K28" s="256">
        <f>'Main calculations'!$C$244*'Main calculations'!K202*'Main calculations'!K59/100*(K25/(K37+K25))</f>
        <v>183.71889596585646</v>
      </c>
      <c r="L28" s="256">
        <f>'Main calculations'!$C$244*'Main calculations'!L202*'Main calculations'!L59/100*(L25/(L37+L25))</f>
        <v>198.30479347514569</v>
      </c>
      <c r="M28" s="256">
        <f>'Main calculations'!$C$244*'Main calculations'!M202*'Main calculations'!M59/100*(M25/(M37+M25))</f>
        <v>212.63678083844513</v>
      </c>
      <c r="N28" s="256">
        <f>'Main calculations'!$C$244*'Main calculations'!N202*'Main calculations'!N59/100*(N25/(N37+N25))</f>
        <v>226.93663948479107</v>
      </c>
      <c r="O28" s="256">
        <f>'Main calculations'!$C$244*'Main calculations'!O202*'Main calculations'!O59/100*(O25/(O37+O25))</f>
        <v>241.36340518202195</v>
      </c>
      <c r="P28" s="256">
        <f>'Main calculations'!$C$244*'Main calculations'!P202*'Main calculations'!P59/100*(P25/(P37+P25))</f>
        <v>256.03719482856997</v>
      </c>
      <c r="Q28" s="256">
        <f>'Main calculations'!$C$244*'Main calculations'!Q202*'Main calculations'!Q59/100*(Q25/(Q37+Q25))</f>
        <v>271.0531467056062</v>
      </c>
      <c r="R28" s="256">
        <f>'Main calculations'!$C$244*'Main calculations'!R202*'Main calculations'!R59/100*(R25/(R37+R25))</f>
        <v>286.48996178169853</v>
      </c>
      <c r="S28" s="256">
        <f>'Main calculations'!$C$244*'Main calculations'!S202*'Main calculations'!S59/100*(S25/(S37+S25))</f>
        <v>302.41534807374006</v>
      </c>
      <c r="T28" s="256">
        <f>'Main calculations'!$C$244*'Main calculations'!T202*'Main calculations'!T59/100*(T25/(T37+T25))</f>
        <v>318.88961329348098</v>
      </c>
      <c r="U28" s="256">
        <f>'Main calculations'!$C$244*'Main calculations'!U202*'Main calculations'!U59/100*(U25/(U37+U25))</f>
        <v>335.96811041770718</v>
      </c>
      <c r="V28" s="256">
        <f>'Main calculations'!$C$244*'Main calculations'!V202*'Main calculations'!V59/100*(V25/(V37+V25))</f>
        <v>353.7029506899932</v>
      </c>
      <c r="W28" s="256">
        <f>'Main calculations'!$C$244*'Main calculations'!W202*'Main calculations'!W59/100*(W25/(W37+W25))</f>
        <v>381.93225468362829</v>
      </c>
      <c r="X28" s="256">
        <f>'Main calculations'!$C$244*'Main calculations'!X202*'Main calculations'!X59/100*(X25/(X37+X25))</f>
        <v>412.00895177314516</v>
      </c>
      <c r="Y28" s="256">
        <f>'Main calculations'!$C$244*'Main calculations'!Y202*'Main calculations'!Y59/100*(Y25/(Y37+Y25))</f>
        <v>444.04322175135439</v>
      </c>
      <c r="Z28" s="256">
        <f>'Main calculations'!$C$244*'Main calculations'!Z202*'Main calculations'!Z59/100*(Z25/(Z37+Z25))</f>
        <v>478.15147019213646</v>
      </c>
      <c r="AA28" s="256">
        <f>'Main calculations'!$C$244*'Main calculations'!AA202*'Main calculations'!AA59/100*(AA25/(AA37+AA25))</f>
        <v>500.38551355607086</v>
      </c>
      <c r="AB28" s="68"/>
      <c r="AC28" s="54"/>
      <c r="AG28"/>
      <c r="AH28"/>
    </row>
    <row r="29" spans="1:34" s="27" customFormat="1">
      <c r="A29" s="197" t="s">
        <v>958</v>
      </c>
      <c r="B29" s="264" t="s">
        <v>15</v>
      </c>
      <c r="C29" s="253" t="s">
        <v>47</v>
      </c>
      <c r="D29" s="253" t="s">
        <v>47</v>
      </c>
      <c r="E29" s="253" t="s">
        <v>47</v>
      </c>
      <c r="F29" s="253" t="s">
        <v>47</v>
      </c>
      <c r="G29" s="256">
        <f>G28*'Main calculations'!$C$247</f>
        <v>41.020788666980231</v>
      </c>
      <c r="H29" s="256">
        <f>H28*'Main calculations'!$C$247</f>
        <v>44.497089445514909</v>
      </c>
      <c r="I29" s="256">
        <f>I28*'Main calculations'!$C$247</f>
        <v>47.187014216757959</v>
      </c>
      <c r="J29" s="256">
        <f>J28*'Main calculations'!$C$247</f>
        <v>49.722700094735835</v>
      </c>
      <c r="K29" s="256">
        <f>K28*'Main calculations'!$C$247</f>
        <v>54.197074309927665</v>
      </c>
      <c r="L29" s="256">
        <f>L28*'Main calculations'!$C$247</f>
        <v>58.499914075167986</v>
      </c>
      <c r="M29" s="256">
        <f>M28*'Main calculations'!$C$247</f>
        <v>62.727850347341324</v>
      </c>
      <c r="N29" s="256">
        <f>N28*'Main calculations'!$C$247</f>
        <v>66.946308648013371</v>
      </c>
      <c r="O29" s="256">
        <f>O28*'Main calculations'!$C$247</f>
        <v>71.202204528696484</v>
      </c>
      <c r="P29" s="256">
        <f>P28*'Main calculations'!$C$247</f>
        <v>75.530972474428154</v>
      </c>
      <c r="Q29" s="256">
        <f>Q28*'Main calculations'!$C$247</f>
        <v>79.960678278153836</v>
      </c>
      <c r="R29" s="256">
        <f>R28*'Main calculations'!$C$247</f>
        <v>84.514538725601071</v>
      </c>
      <c r="S29" s="256">
        <f>S28*'Main calculations'!$C$247</f>
        <v>89.212527681753329</v>
      </c>
      <c r="T29" s="256">
        <f>T28*'Main calculations'!$C$247</f>
        <v>94.072435921576897</v>
      </c>
      <c r="U29" s="256">
        <f>U28*'Main calculations'!$C$247</f>
        <v>99.110592573223627</v>
      </c>
      <c r="V29" s="256">
        <f>V28*'Main calculations'!$C$247</f>
        <v>104.34237045354801</v>
      </c>
      <c r="W29" s="256">
        <f>W28*'Main calculations'!$C$247</f>
        <v>112.67001513167035</v>
      </c>
      <c r="X29" s="256">
        <f>X28*'Main calculations'!$C$247</f>
        <v>121.54264077307784</v>
      </c>
      <c r="Y29" s="256">
        <f>Y28*'Main calculations'!$C$247</f>
        <v>130.99275041664956</v>
      </c>
      <c r="Z29" s="256">
        <f>Z28*'Main calculations'!$C$247</f>
        <v>141.05468370668027</v>
      </c>
      <c r="AA29" s="256">
        <f>AA28*'Main calculations'!$C$247</f>
        <v>147.61372649904092</v>
      </c>
      <c r="AB29" s="68"/>
      <c r="AC29" s="54"/>
      <c r="AG29"/>
      <c r="AH29"/>
    </row>
    <row r="30" spans="1:34" s="27" customFormat="1">
      <c r="A30" s="197"/>
      <c r="B30" s="264"/>
      <c r="C30" s="253"/>
      <c r="D30" s="253"/>
      <c r="E30" s="253"/>
      <c r="F30" s="253"/>
      <c r="G30" s="256"/>
      <c r="H30" s="256"/>
      <c r="I30" s="256"/>
      <c r="J30" s="256"/>
      <c r="K30" s="256"/>
      <c r="L30" s="261"/>
      <c r="M30" s="256"/>
      <c r="N30" s="256"/>
      <c r="O30" s="256"/>
      <c r="P30" s="256"/>
      <c r="Q30" s="256"/>
      <c r="R30" s="256"/>
      <c r="S30" s="256"/>
      <c r="T30" s="256"/>
      <c r="U30" s="256"/>
      <c r="V30" s="256"/>
      <c r="W30" s="256"/>
      <c r="X30" s="256"/>
      <c r="Y30" s="256"/>
      <c r="Z30" s="256"/>
      <c r="AA30" s="256"/>
      <c r="AB30" s="68"/>
      <c r="AC30" s="54"/>
      <c r="AG30"/>
      <c r="AH30"/>
    </row>
    <row r="31" spans="1:34" s="19" customFormat="1" ht="34.75">
      <c r="A31" s="25" t="s">
        <v>712</v>
      </c>
      <c r="B31" s="265" t="s">
        <v>15</v>
      </c>
      <c r="C31" s="258" t="s">
        <v>47</v>
      </c>
      <c r="D31" s="258" t="s">
        <v>47</v>
      </c>
      <c r="E31" s="258" t="s">
        <v>47</v>
      </c>
      <c r="F31" s="258" t="s">
        <v>47</v>
      </c>
      <c r="G31" s="277">
        <f t="shared" ref="G31:AA31" si="11">SUM(G33,G34,G35)</f>
        <v>0</v>
      </c>
      <c r="H31" s="277">
        <f t="shared" si="11"/>
        <v>908.92851134677892</v>
      </c>
      <c r="I31" s="277">
        <f t="shared" si="11"/>
        <v>1923.5057507572858</v>
      </c>
      <c r="J31" s="277">
        <f t="shared" si="11"/>
        <v>3038.2655129794366</v>
      </c>
      <c r="K31" s="277">
        <f t="shared" si="11"/>
        <v>3930.6259919141139</v>
      </c>
      <c r="L31" s="277">
        <f t="shared" si="11"/>
        <v>4876.0106880374478</v>
      </c>
      <c r="M31" s="277">
        <f t="shared" si="11"/>
        <v>5915.0494297513405</v>
      </c>
      <c r="N31" s="277">
        <f t="shared" si="11"/>
        <v>7057.3801949623003</v>
      </c>
      <c r="O31" s="277">
        <f t="shared" si="11"/>
        <v>8314.8823629089602</v>
      </c>
      <c r="P31" s="277">
        <f t="shared" si="11"/>
        <v>9702.0106676736523</v>
      </c>
      <c r="Q31" s="277">
        <f t="shared" si="11"/>
        <v>11116.260804437996</v>
      </c>
      <c r="R31" s="277">
        <f t="shared" si="11"/>
        <v>12640.042588919912</v>
      </c>
      <c r="S31" s="277">
        <f t="shared" si="11"/>
        <v>14280.825601803299</v>
      </c>
      <c r="T31" s="277">
        <f t="shared" si="11"/>
        <v>16046.75250554141</v>
      </c>
      <c r="U31" s="277">
        <f t="shared" si="11"/>
        <v>17946.697717030514</v>
      </c>
      <c r="V31" s="277">
        <f t="shared" si="11"/>
        <v>19867.124812997619</v>
      </c>
      <c r="W31" s="277">
        <f t="shared" si="11"/>
        <v>21144.498391144713</v>
      </c>
      <c r="X31" s="277">
        <f t="shared" si="11"/>
        <v>22491.494662464174</v>
      </c>
      <c r="Y31" s="277">
        <f t="shared" si="11"/>
        <v>23911.793127336219</v>
      </c>
      <c r="Z31" s="277">
        <f t="shared" si="11"/>
        <v>25409.28975817957</v>
      </c>
      <c r="AA31" s="277">
        <f t="shared" si="11"/>
        <v>26386.934134178879</v>
      </c>
      <c r="AC31" s="281">
        <f>'NPV calculations'!B21</f>
        <v>90799.626621120056</v>
      </c>
      <c r="AD31" s="348">
        <f>AC31/AC$51</f>
        <v>0.63004607541411084</v>
      </c>
      <c r="AE31" s="280">
        <f>'NPV calculations'!C21</f>
        <v>6355.9738634784044</v>
      </c>
      <c r="AF31" s="348">
        <f>AE31/AE$51</f>
        <v>0.62991882277515432</v>
      </c>
      <c r="AG31"/>
      <c r="AH31"/>
    </row>
    <row r="32" spans="1:34" s="27" customFormat="1">
      <c r="A32" s="197" t="s">
        <v>88</v>
      </c>
      <c r="B32" s="263" t="s">
        <v>7</v>
      </c>
      <c r="C32" s="253" t="s">
        <v>47</v>
      </c>
      <c r="D32" s="253" t="s">
        <v>47</v>
      </c>
      <c r="E32" s="253" t="s">
        <v>47</v>
      </c>
      <c r="F32" s="253" t="s">
        <v>47</v>
      </c>
      <c r="G32" s="256">
        <f t="shared" ref="G32:AA32" si="12">G7-G20</f>
        <v>0</v>
      </c>
      <c r="H32" s="256">
        <f t="shared" si="12"/>
        <v>2</v>
      </c>
      <c r="I32" s="256">
        <f t="shared" si="12"/>
        <v>4</v>
      </c>
      <c r="J32" s="256">
        <f t="shared" si="12"/>
        <v>6</v>
      </c>
      <c r="K32" s="256">
        <f t="shared" si="12"/>
        <v>7.5</v>
      </c>
      <c r="L32" s="256">
        <f t="shared" si="12"/>
        <v>9</v>
      </c>
      <c r="M32" s="256">
        <f t="shared" si="12"/>
        <v>10.5</v>
      </c>
      <c r="N32" s="256">
        <f t="shared" si="12"/>
        <v>12</v>
      </c>
      <c r="O32" s="256">
        <f t="shared" si="12"/>
        <v>13.5</v>
      </c>
      <c r="P32" s="256">
        <f t="shared" si="12"/>
        <v>15</v>
      </c>
      <c r="Q32" s="256">
        <f t="shared" si="12"/>
        <v>16.500000000000004</v>
      </c>
      <c r="R32" s="256">
        <f t="shared" si="12"/>
        <v>18</v>
      </c>
      <c r="S32" s="256">
        <f t="shared" si="12"/>
        <v>19.5</v>
      </c>
      <c r="T32" s="256">
        <f t="shared" si="12"/>
        <v>21</v>
      </c>
      <c r="U32" s="256">
        <f t="shared" si="12"/>
        <v>22.5</v>
      </c>
      <c r="V32" s="256">
        <f t="shared" si="12"/>
        <v>24</v>
      </c>
      <c r="W32" s="256">
        <f t="shared" si="12"/>
        <v>24.85</v>
      </c>
      <c r="X32" s="256">
        <f t="shared" si="12"/>
        <v>25.7</v>
      </c>
      <c r="Y32" s="256">
        <f t="shared" si="12"/>
        <v>26.55</v>
      </c>
      <c r="Z32" s="256">
        <f t="shared" si="12"/>
        <v>27.4</v>
      </c>
      <c r="AA32" s="256">
        <f t="shared" si="12"/>
        <v>27.4</v>
      </c>
      <c r="AD32" s="253"/>
      <c r="AF32" s="253"/>
      <c r="AG32"/>
      <c r="AH32"/>
    </row>
    <row r="33" spans="1:34" s="27" customFormat="1" ht="11.7" customHeight="1">
      <c r="A33" s="233" t="s">
        <v>581</v>
      </c>
      <c r="B33" s="263" t="s">
        <v>15</v>
      </c>
      <c r="C33" s="253" t="s">
        <v>47</v>
      </c>
      <c r="D33" s="253" t="s">
        <v>47</v>
      </c>
      <c r="E33" s="253" t="s">
        <v>47</v>
      </c>
      <c r="F33" s="253" t="s">
        <v>47</v>
      </c>
      <c r="G33" s="260">
        <f t="shared" ref="G33:AA33" si="13">G8*G35/(G35+G23)</f>
        <v>0</v>
      </c>
      <c r="H33" s="260">
        <f t="shared" si="13"/>
        <v>11.958584721511651</v>
      </c>
      <c r="I33" s="260">
        <f t="shared" si="13"/>
        <v>24.744984324815416</v>
      </c>
      <c r="J33" s="260">
        <f t="shared" si="13"/>
        <v>38.159015168204817</v>
      </c>
      <c r="K33" s="260">
        <f t="shared" si="13"/>
        <v>48.259298124228422</v>
      </c>
      <c r="L33" s="260">
        <f t="shared" si="13"/>
        <v>58.90914348387237</v>
      </c>
      <c r="M33" s="260">
        <f t="shared" si="13"/>
        <v>70.088393175062762</v>
      </c>
      <c r="N33" s="260">
        <f t="shared" si="13"/>
        <v>81.789039167745955</v>
      </c>
      <c r="O33" s="260">
        <f t="shared" si="13"/>
        <v>94.010495171605271</v>
      </c>
      <c r="P33" s="260">
        <f t="shared" si="13"/>
        <v>106.75698606819627</v>
      </c>
      <c r="Q33" s="260">
        <f t="shared" si="13"/>
        <v>120.03602758133026</v>
      </c>
      <c r="R33" s="260">
        <f t="shared" si="13"/>
        <v>133.8575015686198</v>
      </c>
      <c r="S33" s="260">
        <f t="shared" si="13"/>
        <v>148.23307321973434</v>
      </c>
      <c r="T33" s="260">
        <f t="shared" si="13"/>
        <v>163.17581292841598</v>
      </c>
      <c r="U33" s="260">
        <f t="shared" si="13"/>
        <v>178.69994519163316</v>
      </c>
      <c r="V33" s="260">
        <f t="shared" si="13"/>
        <v>194.82067886904298</v>
      </c>
      <c r="W33" s="260">
        <f t="shared" si="13"/>
        <v>205.36643552671219</v>
      </c>
      <c r="X33" s="260">
        <f t="shared" si="13"/>
        <v>216.2700516485198</v>
      </c>
      <c r="Y33" s="260">
        <f t="shared" si="13"/>
        <v>227.54192318673554</v>
      </c>
      <c r="Z33" s="260">
        <f t="shared" si="13"/>
        <v>239.19272522859299</v>
      </c>
      <c r="AA33" s="260">
        <f t="shared" si="13"/>
        <v>244.21577245839333</v>
      </c>
      <c r="AD33" s="253"/>
      <c r="AF33" s="253"/>
      <c r="AG33"/>
      <c r="AH33"/>
    </row>
    <row r="34" spans="1:34" s="27" customFormat="1">
      <c r="A34" s="197" t="s">
        <v>84</v>
      </c>
      <c r="B34" s="264" t="s">
        <v>15</v>
      </c>
      <c r="C34" s="253" t="s">
        <v>47</v>
      </c>
      <c r="D34" s="253" t="s">
        <v>47</v>
      </c>
      <c r="E34" s="253" t="s">
        <v>47</v>
      </c>
      <c r="F34" s="253" t="s">
        <v>47</v>
      </c>
      <c r="G34" s="256">
        <f t="shared" ref="G34:AA34" si="14">G125-G22</f>
        <v>0</v>
      </c>
      <c r="H34" s="256">
        <f t="shared" si="14"/>
        <v>18.558473838770144</v>
      </c>
      <c r="I34" s="256">
        <f t="shared" si="14"/>
        <v>56.844605368152941</v>
      </c>
      <c r="J34" s="256">
        <f t="shared" si="14"/>
        <v>116.07668416176826</v>
      </c>
      <c r="K34" s="256">
        <f t="shared" si="14"/>
        <v>222.21430224218511</v>
      </c>
      <c r="L34" s="256">
        <f t="shared" si="14"/>
        <v>317.78794327207771</v>
      </c>
      <c r="M34" s="256">
        <f t="shared" si="14"/>
        <v>441.84339614874733</v>
      </c>
      <c r="N34" s="256">
        <f t="shared" si="14"/>
        <v>601.78932247650789</v>
      </c>
      <c r="O34" s="256">
        <f t="shared" si="14"/>
        <v>806.82837387959</v>
      </c>
      <c r="P34" s="256">
        <f t="shared" si="14"/>
        <v>1068.3727829964682</v>
      </c>
      <c r="Q34" s="256">
        <f t="shared" si="14"/>
        <v>1280.5810579604345</v>
      </c>
      <c r="R34" s="256">
        <f t="shared" si="14"/>
        <v>1522.2542915497313</v>
      </c>
      <c r="S34" s="256">
        <f t="shared" si="14"/>
        <v>1796.9702452668607</v>
      </c>
      <c r="T34" s="256">
        <f t="shared" si="14"/>
        <v>2108.7113811394765</v>
      </c>
      <c r="U34" s="256">
        <f t="shared" si="14"/>
        <v>2461.9086715332242</v>
      </c>
      <c r="V34" s="256">
        <f t="shared" si="14"/>
        <v>2738.2802990952596</v>
      </c>
      <c r="W34" s="256">
        <f t="shared" si="14"/>
        <v>2956.448331243249</v>
      </c>
      <c r="X34" s="256">
        <f t="shared" si="14"/>
        <v>3188.2639153010177</v>
      </c>
      <c r="Y34" s="256">
        <f t="shared" si="14"/>
        <v>3434.4951398496814</v>
      </c>
      <c r="Z34" s="256">
        <f t="shared" si="14"/>
        <v>3695.950820666053</v>
      </c>
      <c r="AA34" s="256">
        <f t="shared" si="14"/>
        <v>3853.9264660577164</v>
      </c>
      <c r="AB34" s="68"/>
      <c r="AC34" s="54"/>
      <c r="AD34" s="253"/>
      <c r="AF34" s="253"/>
      <c r="AG34"/>
      <c r="AH34"/>
    </row>
    <row r="35" spans="1:34" s="27" customFormat="1">
      <c r="A35" s="197" t="s">
        <v>191</v>
      </c>
      <c r="B35" s="264" t="s">
        <v>15</v>
      </c>
      <c r="C35" s="253" t="s">
        <v>47</v>
      </c>
      <c r="D35" s="253" t="s">
        <v>47</v>
      </c>
      <c r="E35" s="253" t="s">
        <v>47</v>
      </c>
      <c r="F35" s="253" t="s">
        <v>47</v>
      </c>
      <c r="G35" s="260">
        <f t="shared" ref="G35:AA35" si="15">SUM(G36,G40)</f>
        <v>0</v>
      </c>
      <c r="H35" s="260">
        <f t="shared" si="15"/>
        <v>878.41145278649708</v>
      </c>
      <c r="I35" s="260">
        <f t="shared" si="15"/>
        <v>1841.9161610643175</v>
      </c>
      <c r="J35" s="260">
        <f t="shared" si="15"/>
        <v>2884.0298136494634</v>
      </c>
      <c r="K35" s="260">
        <f t="shared" si="15"/>
        <v>3660.1523915477005</v>
      </c>
      <c r="L35" s="260">
        <f t="shared" si="15"/>
        <v>4499.3136012814975</v>
      </c>
      <c r="M35" s="260">
        <f t="shared" si="15"/>
        <v>5403.1176404275302</v>
      </c>
      <c r="N35" s="260">
        <f t="shared" si="15"/>
        <v>6373.8018333180462</v>
      </c>
      <c r="O35" s="260">
        <f t="shared" si="15"/>
        <v>7414.0434938577646</v>
      </c>
      <c r="P35" s="260">
        <f t="shared" si="15"/>
        <v>8526.880898608988</v>
      </c>
      <c r="Q35" s="260">
        <f t="shared" si="15"/>
        <v>9715.6437188962318</v>
      </c>
      <c r="R35" s="260">
        <f t="shared" si="15"/>
        <v>10983.930795801562</v>
      </c>
      <c r="S35" s="260">
        <f t="shared" si="15"/>
        <v>12335.622283316705</v>
      </c>
      <c r="T35" s="260">
        <f t="shared" si="15"/>
        <v>13774.865311473517</v>
      </c>
      <c r="U35" s="260">
        <f t="shared" si="15"/>
        <v>15306.089100305659</v>
      </c>
      <c r="V35" s="260">
        <f t="shared" si="15"/>
        <v>16934.023835033317</v>
      </c>
      <c r="W35" s="260">
        <f t="shared" si="15"/>
        <v>17982.683624374749</v>
      </c>
      <c r="X35" s="260">
        <f t="shared" si="15"/>
        <v>19086.960695514637</v>
      </c>
      <c r="Y35" s="260">
        <f t="shared" si="15"/>
        <v>20249.756064299803</v>
      </c>
      <c r="Z35" s="260">
        <f t="shared" si="15"/>
        <v>21474.146212284923</v>
      </c>
      <c r="AA35" s="260">
        <f t="shared" si="15"/>
        <v>22288.791895662769</v>
      </c>
      <c r="AB35" s="68"/>
      <c r="AD35" s="253"/>
      <c r="AF35" s="253"/>
      <c r="AG35"/>
      <c r="AH35"/>
    </row>
    <row r="36" spans="1:34" s="27" customFormat="1">
      <c r="A36" s="197" t="s">
        <v>837</v>
      </c>
      <c r="B36" s="264" t="s">
        <v>15</v>
      </c>
      <c r="C36" s="253" t="s">
        <v>47</v>
      </c>
      <c r="D36" s="253" t="s">
        <v>47</v>
      </c>
      <c r="E36" s="253" t="s">
        <v>47</v>
      </c>
      <c r="F36" s="253" t="s">
        <v>47</v>
      </c>
      <c r="G36" s="256">
        <f t="shared" ref="G36:AA36" si="16">SUM(G37:G39)</f>
        <v>0</v>
      </c>
      <c r="H36" s="256">
        <f t="shared" si="16"/>
        <v>754.37885927603475</v>
      </c>
      <c r="I36" s="256">
        <f t="shared" si="16"/>
        <v>1578.8550113913261</v>
      </c>
      <c r="J36" s="256">
        <f t="shared" si="16"/>
        <v>2468.2339362599178</v>
      </c>
      <c r="K36" s="256">
        <f t="shared" si="16"/>
        <v>3121.1663560642733</v>
      </c>
      <c r="L36" s="256">
        <f t="shared" si="16"/>
        <v>3824.9521900316336</v>
      </c>
      <c r="M36" s="256">
        <f t="shared" si="16"/>
        <v>4580.7432135886229</v>
      </c>
      <c r="N36" s="256">
        <f t="shared" si="16"/>
        <v>5390.1710993997403</v>
      </c>
      <c r="O36" s="256">
        <f t="shared" si="16"/>
        <v>6255.194589482252</v>
      </c>
      <c r="P36" s="256">
        <f t="shared" si="16"/>
        <v>7178.041417966364</v>
      </c>
      <c r="Q36" s="256">
        <f t="shared" si="16"/>
        <v>8161.1496472533545</v>
      </c>
      <c r="R36" s="256">
        <f t="shared" si="16"/>
        <v>9207.1507804614375</v>
      </c>
      <c r="S36" s="256">
        <f t="shared" si="16"/>
        <v>10318.883968402235</v>
      </c>
      <c r="T36" s="256">
        <f t="shared" si="16"/>
        <v>11499.381698634861</v>
      </c>
      <c r="U36" s="256">
        <f t="shared" si="16"/>
        <v>12751.883592082711</v>
      </c>
      <c r="V36" s="256">
        <f t="shared" si="16"/>
        <v>14079.853021579049</v>
      </c>
      <c r="W36" s="256">
        <f t="shared" si="16"/>
        <v>14898.871835927108</v>
      </c>
      <c r="X36" s="256">
        <f t="shared" si="16"/>
        <v>15758.309614270234</v>
      </c>
      <c r="Y36" s="256">
        <f t="shared" si="16"/>
        <v>16660.149881145164</v>
      </c>
      <c r="Z36" s="256">
        <f t="shared" si="16"/>
        <v>17606.499136253387</v>
      </c>
      <c r="AA36" s="256">
        <f t="shared" si="16"/>
        <v>18241.299230595767</v>
      </c>
      <c r="AB36" s="68"/>
      <c r="AD36" s="253"/>
      <c r="AF36" s="253"/>
      <c r="AG36"/>
      <c r="AH36"/>
    </row>
    <row r="37" spans="1:34" s="27" customFormat="1">
      <c r="A37" s="233" t="s">
        <v>838</v>
      </c>
      <c r="B37" s="264" t="s">
        <v>15</v>
      </c>
      <c r="C37" s="253" t="s">
        <v>47</v>
      </c>
      <c r="D37" s="253" t="s">
        <v>47</v>
      </c>
      <c r="E37" s="253" t="s">
        <v>47</v>
      </c>
      <c r="F37" s="253" t="s">
        <v>47</v>
      </c>
      <c r="G37" s="256">
        <f t="shared" ref="G37:AA37" si="17">G152-G25</f>
        <v>0</v>
      </c>
      <c r="H37" s="256">
        <f t="shared" si="17"/>
        <v>308.96354046275979</v>
      </c>
      <c r="I37" s="256">
        <f t="shared" si="17"/>
        <v>640.95516759676616</v>
      </c>
      <c r="J37" s="256">
        <f t="shared" si="17"/>
        <v>996.9045803954524</v>
      </c>
      <c r="K37" s="256">
        <f t="shared" si="17"/>
        <v>1228.8612187348804</v>
      </c>
      <c r="L37" s="256">
        <f t="shared" si="17"/>
        <v>1476.1947956039169</v>
      </c>
      <c r="M37" s="256">
        <f t="shared" si="17"/>
        <v>1739.6026913315272</v>
      </c>
      <c r="N37" s="256">
        <f t="shared" si="17"/>
        <v>2019.80287911964</v>
      </c>
      <c r="O37" s="256">
        <f t="shared" si="17"/>
        <v>2317.5362669692972</v>
      </c>
      <c r="P37" s="256">
        <f t="shared" si="17"/>
        <v>2633.5773338843787</v>
      </c>
      <c r="Q37" s="256">
        <f t="shared" si="17"/>
        <v>2968.7305959050404</v>
      </c>
      <c r="R37" s="256">
        <f t="shared" si="17"/>
        <v>3323.8351723083406</v>
      </c>
      <c r="S37" s="256">
        <f t="shared" si="17"/>
        <v>3699.776190717906</v>
      </c>
      <c r="T37" s="256">
        <f t="shared" si="17"/>
        <v>4097.4831807878181</v>
      </c>
      <c r="U37" s="256">
        <f t="shared" si="17"/>
        <v>4517.937052104453</v>
      </c>
      <c r="V37" s="256">
        <f t="shared" si="17"/>
        <v>4962.1769105661242</v>
      </c>
      <c r="W37" s="256">
        <f t="shared" si="17"/>
        <v>5137.317752070252</v>
      </c>
      <c r="X37" s="256">
        <f t="shared" si="17"/>
        <v>5318.1567825358707</v>
      </c>
      <c r="Y37" s="256">
        <f t="shared" si="17"/>
        <v>5504.9205431384107</v>
      </c>
      <c r="Z37" s="256">
        <f t="shared" si="17"/>
        <v>5697.8501375411624</v>
      </c>
      <c r="AA37" s="256">
        <f t="shared" si="17"/>
        <v>5893.6908876524703</v>
      </c>
      <c r="AB37" s="68"/>
      <c r="AC37" s="54"/>
      <c r="AD37" s="253"/>
      <c r="AF37" s="253"/>
      <c r="AG37"/>
      <c r="AH37"/>
    </row>
    <row r="38" spans="1:34" s="27" customFormat="1">
      <c r="A38" s="233" t="s">
        <v>839</v>
      </c>
      <c r="B38" s="264" t="s">
        <v>15</v>
      </c>
      <c r="C38" s="253" t="s">
        <v>47</v>
      </c>
      <c r="D38" s="253" t="s">
        <v>47</v>
      </c>
      <c r="E38" s="253" t="s">
        <v>47</v>
      </c>
      <c r="F38" s="253" t="s">
        <v>47</v>
      </c>
      <c r="G38" s="256">
        <f t="shared" ref="G38:AA38" si="18">G176*(G37/(G25+G37))</f>
        <v>0</v>
      </c>
      <c r="H38" s="256">
        <f t="shared" si="18"/>
        <v>32.137947043648182</v>
      </c>
      <c r="I38" s="256">
        <f t="shared" si="18"/>
        <v>69.112055630454009</v>
      </c>
      <c r="J38" s="256">
        <f t="shared" si="18"/>
        <v>110.72261165458973</v>
      </c>
      <c r="K38" s="256">
        <f t="shared" si="18"/>
        <v>145.42232150933035</v>
      </c>
      <c r="L38" s="256">
        <f t="shared" si="18"/>
        <v>184.32135576377718</v>
      </c>
      <c r="M38" s="256">
        <f t="shared" si="18"/>
        <v>227.67303661278822</v>
      </c>
      <c r="N38" s="256">
        <f t="shared" si="18"/>
        <v>275.77894958123528</v>
      </c>
      <c r="O38" s="256">
        <f t="shared" si="18"/>
        <v>328.98025762524537</v>
      </c>
      <c r="P38" s="256">
        <f t="shared" si="18"/>
        <v>387.6549870372146</v>
      </c>
      <c r="Q38" s="256">
        <f t="shared" si="18"/>
        <v>452.21591998496899</v>
      </c>
      <c r="R38" s="256">
        <f t="shared" si="18"/>
        <v>523.11100960696263</v>
      </c>
      <c r="S38" s="256">
        <f t="shared" si="18"/>
        <v>600.8258643347333</v>
      </c>
      <c r="T38" s="256">
        <f t="shared" si="18"/>
        <v>685.88492529280961</v>
      </c>
      <c r="U38" s="256">
        <f t="shared" si="18"/>
        <v>778.8544455542708</v>
      </c>
      <c r="V38" s="256">
        <f t="shared" si="18"/>
        <v>880.34593539092634</v>
      </c>
      <c r="W38" s="256">
        <f t="shared" si="18"/>
        <v>962.03211114559599</v>
      </c>
      <c r="X38" s="256">
        <f t="shared" si="18"/>
        <v>1050.1684291847514</v>
      </c>
      <c r="Y38" s="256">
        <f t="shared" si="18"/>
        <v>1145.227678356295</v>
      </c>
      <c r="Z38" s="256">
        <f t="shared" si="18"/>
        <v>1247.7179413979643</v>
      </c>
      <c r="AA38" s="256">
        <f t="shared" si="18"/>
        <v>1320.2505308442276</v>
      </c>
      <c r="AB38" s="68"/>
      <c r="AC38" s="54"/>
      <c r="AD38" s="253"/>
      <c r="AF38" s="253"/>
      <c r="AG38"/>
      <c r="AH38"/>
    </row>
    <row r="39" spans="1:34" s="27" customFormat="1">
      <c r="A39" s="233" t="s">
        <v>840</v>
      </c>
      <c r="B39" s="264" t="s">
        <v>15</v>
      </c>
      <c r="C39" s="253" t="s">
        <v>47</v>
      </c>
      <c r="D39" s="253" t="s">
        <v>47</v>
      </c>
      <c r="E39" s="253" t="s">
        <v>47</v>
      </c>
      <c r="F39" s="253" t="s">
        <v>47</v>
      </c>
      <c r="G39" s="256">
        <f>'Main calculations'!G164*(G37/(G37+G25))</f>
        <v>0</v>
      </c>
      <c r="H39" s="256">
        <f>'Main calculations'!H164*(H37/(H37+H25))</f>
        <v>413.27737176962682</v>
      </c>
      <c r="I39" s="256">
        <f>'Main calculations'!I164*(I37/(I37+I25))</f>
        <v>868.7877881641059</v>
      </c>
      <c r="J39" s="256">
        <f>'Main calculations'!J164*(J37/(J37+J25))</f>
        <v>1360.6067442098758</v>
      </c>
      <c r="K39" s="256">
        <f>'Main calculations'!K164*(K37/(K37+K25))</f>
        <v>1746.8828158200627</v>
      </c>
      <c r="L39" s="256">
        <f>'Main calculations'!L164*(L37/(L37+L25))</f>
        <v>2164.4360386639396</v>
      </c>
      <c r="M39" s="256">
        <f>'Main calculations'!M164*(M37/(M37+M25))</f>
        <v>2613.4674856443071</v>
      </c>
      <c r="N39" s="256">
        <f>'Main calculations'!N164*(N37/(N37+N25))</f>
        <v>3094.5892706988652</v>
      </c>
      <c r="O39" s="256">
        <f>'Main calculations'!O164*(O37/(O37+O25))</f>
        <v>3608.6780648877093</v>
      </c>
      <c r="P39" s="256">
        <f>'Main calculations'!P164*(P37/(P37+P25))</f>
        <v>4156.8090970447702</v>
      </c>
      <c r="Q39" s="256">
        <f>'Main calculations'!Q164*(Q37/(Q37+Q25))</f>
        <v>4740.2031313633452</v>
      </c>
      <c r="R39" s="256">
        <f>'Main calculations'!R164*(R37/(R37+R25))</f>
        <v>5360.2045985461345</v>
      </c>
      <c r="S39" s="256">
        <f>'Main calculations'!S164*(S37/(S37+S25))</f>
        <v>6018.2819133495968</v>
      </c>
      <c r="T39" s="256">
        <f>'Main calculations'!T164*(T37/(T37+T25))</f>
        <v>6716.0135925542336</v>
      </c>
      <c r="U39" s="256">
        <f>'Main calculations'!U164*(U37/(U37+U25))</f>
        <v>7455.0920944239888</v>
      </c>
      <c r="V39" s="256">
        <f>'Main calculations'!V164*(V37/(V37+V25))</f>
        <v>8237.3301756219989</v>
      </c>
      <c r="W39" s="256">
        <f>'Main calculations'!W164*(W37/(W37+W25))</f>
        <v>8799.5219727112599</v>
      </c>
      <c r="X39" s="256">
        <f>'Main calculations'!X164*(X37/(X37+X25))</f>
        <v>9389.9844025496113</v>
      </c>
      <c r="Y39" s="256">
        <f>'Main calculations'!Y164*(Y37/(Y37+Y25))</f>
        <v>10010.001659650457</v>
      </c>
      <c r="Z39" s="256">
        <f>'Main calculations'!Z164*(Z37/(Z37+Z25))</f>
        <v>10660.931057314261</v>
      </c>
      <c r="AA39" s="256">
        <f>'Main calculations'!AA164*(AA37/(AA37+AA25))</f>
        <v>11027.35781209907</v>
      </c>
      <c r="AB39" s="68"/>
      <c r="AC39" s="54"/>
      <c r="AD39" s="253"/>
      <c r="AF39" s="253"/>
      <c r="AG39"/>
      <c r="AH39"/>
    </row>
    <row r="40" spans="1:34" s="27" customFormat="1">
      <c r="A40" s="197" t="s">
        <v>841</v>
      </c>
      <c r="B40" s="264" t="s">
        <v>15</v>
      </c>
      <c r="C40" s="253" t="s">
        <v>47</v>
      </c>
      <c r="D40" s="253" t="s">
        <v>47</v>
      </c>
      <c r="E40" s="253" t="s">
        <v>47</v>
      </c>
      <c r="F40" s="253" t="s">
        <v>47</v>
      </c>
      <c r="G40" s="256">
        <f>'Main calculations'!$C$244*'Main calculations'!G202*'Main calculations'!G59/100*(G37/(G37+G25))</f>
        <v>0</v>
      </c>
      <c r="H40" s="256">
        <f>'Main calculations'!$C$244*'Main calculations'!H202*'Main calculations'!H59/100*(H37/(H37+H25))</f>
        <v>124.03259351046231</v>
      </c>
      <c r="I40" s="256">
        <f>'Main calculations'!$C$244*'Main calculations'!I202*'Main calculations'!I59/100*(I37/(I37+I25))</f>
        <v>263.06114967299146</v>
      </c>
      <c r="J40" s="256">
        <f>'Main calculations'!$C$244*'Main calculations'!J202*'Main calculations'!J59/100*(J37/(J37+J25))</f>
        <v>415.79587738954586</v>
      </c>
      <c r="K40" s="256">
        <f>'Main calculations'!$C$244*'Main calculations'!K202*'Main calculations'!K59/100*(K37/(K37+K25))</f>
        <v>538.98603548342726</v>
      </c>
      <c r="L40" s="256">
        <f>'Main calculations'!$C$244*'Main calculations'!L202*'Main calculations'!L59/100*(L37/(L37+L25))</f>
        <v>674.36141124986443</v>
      </c>
      <c r="M40" s="256">
        <f>'Main calculations'!$C$244*'Main calculations'!M202*'Main calculations'!M59/100*(M37/(M37+M25))</f>
        <v>822.37442683890765</v>
      </c>
      <c r="N40" s="256">
        <f>'Main calculations'!$C$244*'Main calculations'!N202*'Main calculations'!N59/100*(N37/(N37+N25))</f>
        <v>983.63073391830562</v>
      </c>
      <c r="O40" s="256">
        <f>'Main calculations'!$C$244*'Main calculations'!O202*'Main calculations'!O59/100*(O37/(O37+O25))</f>
        <v>1158.8489043755123</v>
      </c>
      <c r="P40" s="256">
        <f>'Main calculations'!$C$244*'Main calculations'!P202*'Main calculations'!P59/100*(P37/(P37+P25))</f>
        <v>1348.839480642624</v>
      </c>
      <c r="Q40" s="256">
        <f>'Main calculations'!$C$244*'Main calculations'!Q202*'Main calculations'!Q59/100*(Q37/(Q37+Q25))</f>
        <v>1554.4940716428773</v>
      </c>
      <c r="R40" s="256">
        <f>'Main calculations'!$C$244*'Main calculations'!R202*'Main calculations'!R59/100*(R37/(R37+R25))</f>
        <v>1776.7800153401242</v>
      </c>
      <c r="S40" s="256">
        <f>'Main calculations'!$C$244*'Main calculations'!S202*'Main calculations'!S59/100*(S37/(S37+S25))</f>
        <v>2016.7383149144689</v>
      </c>
      <c r="T40" s="256">
        <f>'Main calculations'!$C$244*'Main calculations'!T202*'Main calculations'!T59/100*(T37/(T37+T25))</f>
        <v>2275.4836128386564</v>
      </c>
      <c r="U40" s="256">
        <f>'Main calculations'!$C$244*'Main calculations'!U202*'Main calculations'!U59/100*(U37/(U37+U25))</f>
        <v>2554.2055082229476</v>
      </c>
      <c r="V40" s="256">
        <f>'Main calculations'!$C$244*'Main calculations'!V202*'Main calculations'!V59/100*(V37/(V37+V25))</f>
        <v>2854.1708134542669</v>
      </c>
      <c r="W40" s="256">
        <f>'Main calculations'!$C$244*'Main calculations'!W202*'Main calculations'!W59/100*(W37/(W37+W25))</f>
        <v>3083.8117884476419</v>
      </c>
      <c r="X40" s="256">
        <f>'Main calculations'!$C$244*'Main calculations'!X202*'Main calculations'!X59/100*(X37/(X37+X25))</f>
        <v>3328.6510812444048</v>
      </c>
      <c r="Y40" s="256">
        <f>'Main calculations'!$C$244*'Main calculations'!Y202*'Main calculations'!Y59/100*(Y37/(Y37+Y25))</f>
        <v>3589.6061831546394</v>
      </c>
      <c r="Z40" s="256">
        <f>'Main calculations'!$C$244*'Main calculations'!Z202*'Main calculations'!Z59/100*(Z37/(Z37+Z25))</f>
        <v>3867.647076031536</v>
      </c>
      <c r="AA40" s="256">
        <f>'Main calculations'!$C$244*'Main calculations'!AA202*'Main calculations'!AA59/100*(AA37/(AA37+AA25))</f>
        <v>4047.4926650670022</v>
      </c>
      <c r="AB40" s="68"/>
      <c r="AC40" s="54"/>
      <c r="AD40" s="253"/>
      <c r="AF40" s="253"/>
      <c r="AG40"/>
      <c r="AH40"/>
    </row>
    <row r="41" spans="1:34" s="27" customFormat="1">
      <c r="A41" s="197" t="s">
        <v>958</v>
      </c>
      <c r="B41" s="264" t="s">
        <v>15</v>
      </c>
      <c r="C41" s="253" t="s">
        <v>47</v>
      </c>
      <c r="D41" s="253" t="s">
        <v>47</v>
      </c>
      <c r="E41" s="253" t="s">
        <v>47</v>
      </c>
      <c r="F41" s="253" t="s">
        <v>47</v>
      </c>
      <c r="G41" s="256">
        <f>G40*'Main calculations'!$C$247</f>
        <v>0</v>
      </c>
      <c r="H41" s="256">
        <f>H40*'Main calculations'!$C$247</f>
        <v>36.589615085586388</v>
      </c>
      <c r="I41" s="256">
        <f>I40*'Main calculations'!$C$247</f>
        <v>77.603039153532492</v>
      </c>
      <c r="J41" s="256">
        <f>J40*'Main calculations'!$C$247</f>
        <v>122.65978382991605</v>
      </c>
      <c r="K41" s="256">
        <f>K40*'Main calculations'!$C$247</f>
        <v>159.00088046761107</v>
      </c>
      <c r="L41" s="256">
        <f>L40*'Main calculations'!$C$247</f>
        <v>198.93661631871004</v>
      </c>
      <c r="M41" s="256">
        <f>M40*'Main calculations'!$C$247</f>
        <v>242.6004559174778</v>
      </c>
      <c r="N41" s="256">
        <f>N40*'Main calculations'!$C$247</f>
        <v>290.17106650590017</v>
      </c>
      <c r="O41" s="256">
        <f>O40*'Main calculations'!$C$247</f>
        <v>341.86042679077622</v>
      </c>
      <c r="P41" s="256">
        <f>P40*'Main calculations'!$C$247</f>
        <v>397.90764678957413</v>
      </c>
      <c r="Q41" s="256">
        <f>Q40*'Main calculations'!$C$247</f>
        <v>458.5757511346489</v>
      </c>
      <c r="R41" s="256">
        <f>R40*'Main calculations'!$C$247</f>
        <v>524.1501045253367</v>
      </c>
      <c r="S41" s="256">
        <f>S40*'Main calculations'!$C$247</f>
        <v>594.93780289976837</v>
      </c>
      <c r="T41" s="256">
        <f>T40*'Main calculations'!$C$247</f>
        <v>671.26766578740376</v>
      </c>
      <c r="U41" s="256">
        <f>U40*'Main calculations'!$C$247</f>
        <v>753.49062492576968</v>
      </c>
      <c r="V41" s="256">
        <f>V40*'Main calculations'!$C$247</f>
        <v>841.9803899690088</v>
      </c>
      <c r="W41" s="256">
        <f>W40*'Main calculations'!$C$247</f>
        <v>909.72447759205454</v>
      </c>
      <c r="X41" s="256">
        <f>X40*'Main calculations'!$C$247</f>
        <v>981.95206896709954</v>
      </c>
      <c r="Y41" s="256">
        <f>Y40*'Main calculations'!$C$247</f>
        <v>1058.9338240306188</v>
      </c>
      <c r="Z41" s="256">
        <f>Z40*'Main calculations'!$C$247</f>
        <v>1140.9558874293032</v>
      </c>
      <c r="AA41" s="256">
        <f>AA40*'Main calculations'!$C$247</f>
        <v>1194.0103361947658</v>
      </c>
      <c r="AB41" s="68"/>
      <c r="AC41" s="54"/>
      <c r="AD41" s="253"/>
      <c r="AF41" s="253"/>
      <c r="AG41"/>
      <c r="AH41"/>
    </row>
    <row r="42" spans="1:34" s="27" customFormat="1">
      <c r="A42" s="197"/>
      <c r="B42" s="264"/>
      <c r="C42" s="253"/>
      <c r="D42" s="253"/>
      <c r="E42" s="253"/>
      <c r="F42" s="253"/>
      <c r="G42" s="256"/>
      <c r="H42" s="256"/>
      <c r="I42" s="256"/>
      <c r="J42" s="256"/>
      <c r="K42" s="256"/>
      <c r="L42" s="261"/>
      <c r="M42" s="256"/>
      <c r="N42" s="256"/>
      <c r="O42" s="256"/>
      <c r="P42" s="256"/>
      <c r="Q42" s="256"/>
      <c r="R42" s="256"/>
      <c r="S42" s="256"/>
      <c r="T42" s="256"/>
      <c r="U42" s="256"/>
      <c r="V42" s="256"/>
      <c r="W42" s="256"/>
      <c r="X42" s="256"/>
      <c r="Y42" s="256"/>
      <c r="Z42" s="256"/>
      <c r="AA42" s="256"/>
      <c r="AB42" s="68"/>
      <c r="AC42" s="54"/>
      <c r="AD42" s="253"/>
      <c r="AF42" s="253"/>
      <c r="AG42"/>
      <c r="AH42"/>
    </row>
    <row r="43" spans="1:34" s="27" customFormat="1">
      <c r="A43" s="25" t="s">
        <v>525</v>
      </c>
      <c r="B43" s="264"/>
      <c r="C43" s="253"/>
      <c r="D43" s="253"/>
      <c r="E43" s="253"/>
      <c r="F43" s="253"/>
      <c r="G43" s="262"/>
      <c r="H43" s="256"/>
      <c r="I43" s="256"/>
      <c r="J43" s="256"/>
      <c r="K43" s="256"/>
      <c r="L43" s="256"/>
      <c r="M43" s="256"/>
      <c r="N43" s="256"/>
      <c r="O43" s="256"/>
      <c r="P43" s="256"/>
      <c r="Q43" s="256"/>
      <c r="R43" s="256"/>
      <c r="S43" s="256"/>
      <c r="T43" s="256"/>
      <c r="U43" s="256"/>
      <c r="V43" s="256"/>
      <c r="W43" s="256"/>
      <c r="X43" s="256"/>
      <c r="Y43" s="256"/>
      <c r="Z43" s="256"/>
      <c r="AA43" s="256"/>
      <c r="AD43" s="253"/>
      <c r="AF43" s="253"/>
      <c r="AG43"/>
      <c r="AH43"/>
    </row>
    <row r="44" spans="1:34" s="27" customFormat="1">
      <c r="A44" s="197" t="s">
        <v>557</v>
      </c>
      <c r="B44" s="265" t="s">
        <v>15</v>
      </c>
      <c r="C44" s="258" t="s">
        <v>47</v>
      </c>
      <c r="D44" s="258" t="s">
        <v>47</v>
      </c>
      <c r="E44" s="258" t="s">
        <v>47</v>
      </c>
      <c r="F44" s="258" t="s">
        <v>47</v>
      </c>
      <c r="G44" s="277">
        <f t="shared" ref="G44:AA44" si="19">G114+G118</f>
        <v>29.250661912830353</v>
      </c>
      <c r="H44" s="277">
        <f t="shared" si="19"/>
        <v>56.411526535666248</v>
      </c>
      <c r="I44" s="277">
        <f t="shared" si="19"/>
        <v>84.700247930757698</v>
      </c>
      <c r="J44" s="277">
        <f t="shared" si="19"/>
        <v>114.15221814124075</v>
      </c>
      <c r="K44" s="277">
        <f t="shared" si="19"/>
        <v>137.74021739897165</v>
      </c>
      <c r="L44" s="277">
        <f t="shared" si="19"/>
        <v>162.26857149732695</v>
      </c>
      <c r="M44" s="277">
        <f t="shared" si="19"/>
        <v>187.76637303194025</v>
      </c>
      <c r="N44" s="277">
        <f t="shared" si="19"/>
        <v>214.26352179097699</v>
      </c>
      <c r="O44" s="277">
        <f t="shared" si="19"/>
        <v>241.79074582738613</v>
      </c>
      <c r="P44" s="277">
        <f t="shared" si="19"/>
        <v>270.37962306021467</v>
      </c>
      <c r="Q44" s="277">
        <f t="shared" si="19"/>
        <v>300.06260341791221</v>
      </c>
      <c r="R44" s="277">
        <f t="shared" si="19"/>
        <v>330.87303153686332</v>
      </c>
      <c r="S44" s="277">
        <f t="shared" si="19"/>
        <v>362.84517002870319</v>
      </c>
      <c r="T44" s="277">
        <f t="shared" si="19"/>
        <v>396.01422333029262</v>
      </c>
      <c r="U44" s="277">
        <f t="shared" si="19"/>
        <v>430.41636215056587</v>
      </c>
      <c r="V44" s="277">
        <f t="shared" si="19"/>
        <v>466.08874852880223</v>
      </c>
      <c r="W44" s="277">
        <f t="shared" si="19"/>
        <v>491.28595016831537</v>
      </c>
      <c r="X44" s="277">
        <f t="shared" si="19"/>
        <v>517.33588913858682</v>
      </c>
      <c r="Y44" s="277">
        <f t="shared" si="19"/>
        <v>544.26326844158564</v>
      </c>
      <c r="Z44" s="277">
        <f t="shared" si="19"/>
        <v>572.09345254820016</v>
      </c>
      <c r="AA44" s="277">
        <f t="shared" si="19"/>
        <v>584.10741505171234</v>
      </c>
      <c r="AB44" s="19"/>
      <c r="AC44" s="280">
        <f>'NPV calculations'!B24</f>
        <v>2434.8251607542438</v>
      </c>
      <c r="AD44" s="348">
        <f>AC44/AC$51</f>
        <v>1.6894915694465214E-2</v>
      </c>
      <c r="AE44" s="280">
        <f>'NPV calculations'!C24</f>
        <v>170.43776125279709</v>
      </c>
      <c r="AF44" s="348">
        <f>AE44/AE$51</f>
        <v>1.6891503368460879E-2</v>
      </c>
      <c r="AG44"/>
      <c r="AH44"/>
    </row>
    <row r="45" spans="1:34" s="27" customFormat="1">
      <c r="A45" s="197"/>
      <c r="B45" s="264"/>
      <c r="C45" s="253"/>
      <c r="D45" s="253"/>
      <c r="E45" s="253"/>
      <c r="F45" s="253"/>
      <c r="G45" s="256"/>
      <c r="H45" s="256"/>
      <c r="I45" s="256"/>
      <c r="J45" s="256"/>
      <c r="K45" s="256"/>
      <c r="L45" s="256"/>
      <c r="M45" s="256"/>
      <c r="N45" s="256"/>
      <c r="O45" s="256"/>
      <c r="P45" s="256"/>
      <c r="Q45" s="256"/>
      <c r="R45" s="256"/>
      <c r="S45" s="256"/>
      <c r="T45" s="256"/>
      <c r="U45" s="256"/>
      <c r="V45" s="256"/>
      <c r="W45" s="256"/>
      <c r="X45" s="256"/>
      <c r="Y45" s="256"/>
      <c r="Z45" s="256"/>
      <c r="AA45" s="256"/>
      <c r="AD45" s="253"/>
      <c r="AF45" s="253"/>
      <c r="AG45"/>
      <c r="AH45"/>
    </row>
    <row r="46" spans="1:34" s="27" customFormat="1" ht="23.15">
      <c r="A46" s="25" t="s">
        <v>520</v>
      </c>
      <c r="B46" s="265" t="s">
        <v>15</v>
      </c>
      <c r="C46" s="258" t="s">
        <v>47</v>
      </c>
      <c r="D46" s="258" t="s">
        <v>47</v>
      </c>
      <c r="E46" s="258" t="s">
        <v>47</v>
      </c>
      <c r="F46" s="258" t="s">
        <v>47</v>
      </c>
      <c r="G46" s="277">
        <f t="shared" ref="G46:AA46" si="20">G47</f>
        <v>210.35263982874494</v>
      </c>
      <c r="H46" s="277">
        <f t="shared" si="20"/>
        <v>415.80873765258735</v>
      </c>
      <c r="I46" s="277">
        <f t="shared" si="20"/>
        <v>639.91741757857756</v>
      </c>
      <c r="J46" s="277">
        <f t="shared" si="20"/>
        <v>883.96912229469558</v>
      </c>
      <c r="K46" s="277">
        <f t="shared" si="20"/>
        <v>1093.2689022052896</v>
      </c>
      <c r="L46" s="277">
        <f t="shared" si="20"/>
        <v>1320.1221994128871</v>
      </c>
      <c r="M46" s="277">
        <f t="shared" si="20"/>
        <v>1565.7089325769975</v>
      </c>
      <c r="N46" s="277">
        <f t="shared" si="20"/>
        <v>1831.2807976996905</v>
      </c>
      <c r="O46" s="277">
        <f t="shared" si="20"/>
        <v>2118.1653921393281</v>
      </c>
      <c r="P46" s="277">
        <f t="shared" si="20"/>
        <v>2427.7705669570273</v>
      </c>
      <c r="Q46" s="277">
        <f t="shared" si="20"/>
        <v>2761.5890199136188</v>
      </c>
      <c r="R46" s="277">
        <f t="shared" si="20"/>
        <v>3121.2031420867693</v>
      </c>
      <c r="S46" s="277">
        <f t="shared" si="20"/>
        <v>3508.2901317637165</v>
      </c>
      <c r="T46" s="277">
        <f t="shared" si="20"/>
        <v>3924.6273899866419</v>
      </c>
      <c r="U46" s="277">
        <f t="shared" si="20"/>
        <v>4372.0982128868927</v>
      </c>
      <c r="V46" s="277">
        <f t="shared" si="20"/>
        <v>4852.6977967428684</v>
      </c>
      <c r="W46" s="277">
        <f t="shared" si="20"/>
        <v>5242.7899969637047</v>
      </c>
      <c r="X46" s="277">
        <f t="shared" si="20"/>
        <v>5658.6680259940713</v>
      </c>
      <c r="Y46" s="277">
        <f t="shared" si="20"/>
        <v>6101.8864890533287</v>
      </c>
      <c r="Z46" s="277">
        <f t="shared" si="20"/>
        <v>6574.0888142378899</v>
      </c>
      <c r="AA46" s="277">
        <f t="shared" si="20"/>
        <v>6879.7839440999514</v>
      </c>
      <c r="AB46" s="19"/>
      <c r="AC46" s="280">
        <f>'NPV calculations'!B27</f>
        <v>23484.614680807965</v>
      </c>
      <c r="AD46" s="348">
        <f>AC46/AC$51</f>
        <v>0.16295649952390903</v>
      </c>
      <c r="AE46" s="280">
        <f>'NPV calculations'!C27</f>
        <v>1643.9230276565577</v>
      </c>
      <c r="AF46" s="348">
        <f>AE46/AE$51</f>
        <v>0.162923586622125</v>
      </c>
      <c r="AG46"/>
      <c r="AH46"/>
    </row>
    <row r="47" spans="1:34" s="27" customFormat="1" ht="23.15">
      <c r="A47" s="197" t="s">
        <v>842</v>
      </c>
      <c r="B47" s="264" t="s">
        <v>15</v>
      </c>
      <c r="C47" s="253" t="s">
        <v>47</v>
      </c>
      <c r="D47" s="253" t="s">
        <v>47</v>
      </c>
      <c r="E47" s="253" t="s">
        <v>47</v>
      </c>
      <c r="F47" s="253" t="s">
        <v>47</v>
      </c>
      <c r="G47" s="256">
        <f>'Main calculations'!$C$244*'Main calculations'!G204*'Main calculations'!G59/100</f>
        <v>210.35263982874494</v>
      </c>
      <c r="H47" s="256">
        <f>'Main calculations'!$C$244*'Main calculations'!H204*'Main calculations'!H59/100</f>
        <v>415.80873765258735</v>
      </c>
      <c r="I47" s="256">
        <f>'Main calculations'!$C$244*'Main calculations'!I204*'Main calculations'!I59/100</f>
        <v>639.91741757857756</v>
      </c>
      <c r="J47" s="256">
        <f>'Main calculations'!$C$244*'Main calculations'!J204*'Main calculations'!J59/100</f>
        <v>883.96912229469558</v>
      </c>
      <c r="K47" s="256">
        <f>'Main calculations'!$C$244*'Main calculations'!K204*'Main calculations'!K59/100</f>
        <v>1093.2689022052896</v>
      </c>
      <c r="L47" s="256">
        <f>'Main calculations'!$C$244*'Main calculations'!L204*'Main calculations'!L59/100</f>
        <v>1320.1221994128871</v>
      </c>
      <c r="M47" s="256">
        <f>'Main calculations'!$C$244*'Main calculations'!M204*'Main calculations'!M59/100</f>
        <v>1565.7089325769975</v>
      </c>
      <c r="N47" s="256">
        <f>'Main calculations'!$C$244*'Main calculations'!N204*'Main calculations'!N59/100</f>
        <v>1831.2807976996905</v>
      </c>
      <c r="O47" s="256">
        <f>'Main calculations'!$C$244*'Main calculations'!O204*'Main calculations'!O59/100</f>
        <v>2118.1653921393281</v>
      </c>
      <c r="P47" s="256">
        <f>'Main calculations'!$C$244*'Main calculations'!P204*'Main calculations'!P59/100</f>
        <v>2427.7705669570273</v>
      </c>
      <c r="Q47" s="256">
        <f>'Main calculations'!$C$244*'Main calculations'!Q204*'Main calculations'!Q59/100</f>
        <v>2761.5890199136188</v>
      </c>
      <c r="R47" s="256">
        <f>'Main calculations'!$C$244*'Main calculations'!R204*'Main calculations'!R59/100</f>
        <v>3121.2031420867693</v>
      </c>
      <c r="S47" s="256">
        <f>'Main calculations'!$C$244*'Main calculations'!S204*'Main calculations'!S59/100</f>
        <v>3508.2901317637165</v>
      </c>
      <c r="T47" s="256">
        <f>'Main calculations'!$C$244*'Main calculations'!T204*'Main calculations'!T59/100</f>
        <v>3924.6273899866419</v>
      </c>
      <c r="U47" s="256">
        <f>'Main calculations'!$C$244*'Main calculations'!U204*'Main calculations'!U59/100</f>
        <v>4372.0982128868927</v>
      </c>
      <c r="V47" s="256">
        <f>'Main calculations'!$C$244*'Main calculations'!V204*'Main calculations'!V59/100</f>
        <v>4852.6977967428684</v>
      </c>
      <c r="W47" s="256">
        <f>'Main calculations'!$C$244*'Main calculations'!W204*'Main calculations'!W59/100</f>
        <v>5242.7899969637047</v>
      </c>
      <c r="X47" s="256">
        <f>'Main calculations'!$C$244*'Main calculations'!X204*'Main calculations'!X59/100</f>
        <v>5658.6680259940713</v>
      </c>
      <c r="Y47" s="256">
        <f>'Main calculations'!$C$244*'Main calculations'!Y204*'Main calculations'!Y59/100</f>
        <v>6101.8864890533287</v>
      </c>
      <c r="Z47" s="256">
        <f>'Main calculations'!$C$244*'Main calculations'!Z204*'Main calculations'!Z59/100</f>
        <v>6574.0888142378899</v>
      </c>
      <c r="AA47" s="256">
        <f>'Main calculations'!$C$244*'Main calculations'!AA204*'Main calculations'!AA59/100</f>
        <v>6879.7839440999514</v>
      </c>
      <c r="AD47" s="253"/>
      <c r="AF47" s="253"/>
      <c r="AG47"/>
      <c r="AH47"/>
    </row>
    <row r="48" spans="1:34" s="27" customFormat="1">
      <c r="A48" s="197"/>
      <c r="B48" s="264"/>
      <c r="C48" s="253"/>
      <c r="D48" s="253"/>
      <c r="E48" s="253"/>
      <c r="F48" s="253"/>
      <c r="G48" s="256"/>
      <c r="H48" s="256"/>
      <c r="I48" s="256"/>
      <c r="J48" s="256"/>
      <c r="K48" s="256"/>
      <c r="L48" s="261"/>
      <c r="M48" s="256"/>
      <c r="N48" s="256"/>
      <c r="O48" s="256"/>
      <c r="P48" s="256"/>
      <c r="Q48" s="256"/>
      <c r="R48" s="256"/>
      <c r="S48" s="256"/>
      <c r="T48" s="256"/>
      <c r="U48" s="256"/>
      <c r="V48" s="256"/>
      <c r="W48" s="256"/>
      <c r="X48" s="256"/>
      <c r="Y48" s="256"/>
      <c r="Z48" s="256"/>
      <c r="AA48" s="256"/>
      <c r="AD48" s="253"/>
      <c r="AF48" s="253"/>
      <c r="AG48"/>
      <c r="AH48"/>
    </row>
    <row r="49" spans="1:34" s="27" customFormat="1">
      <c r="A49" s="25" t="s">
        <v>519</v>
      </c>
      <c r="B49" s="265" t="s">
        <v>15</v>
      </c>
      <c r="C49" s="258" t="s">
        <v>47</v>
      </c>
      <c r="D49" s="258" t="s">
        <v>47</v>
      </c>
      <c r="E49" s="282">
        <f>SUM('Main calculations'!E210:E211)</f>
        <v>582.76380971033916</v>
      </c>
      <c r="F49" s="282">
        <f>SUM('Main calculations'!F210:F211)</f>
        <v>596.15112789918567</v>
      </c>
      <c r="G49" s="282">
        <f>SUM('Main calculations'!G210:G211)</f>
        <v>611.01566740542216</v>
      </c>
      <c r="H49" s="282">
        <f>SUM('Main calculations'!H210:H211)</f>
        <v>639.42789593977432</v>
      </c>
      <c r="I49" s="282">
        <f>SUM('Main calculations'!I210:I211)</f>
        <v>669.16129310097381</v>
      </c>
      <c r="J49" s="282">
        <f>SUM('Main calculations'!J210:J211)</f>
        <v>700.27729323016911</v>
      </c>
      <c r="K49" s="282">
        <f>SUM('Main calculations'!K210:K211)</f>
        <v>732.840187365372</v>
      </c>
      <c r="L49" s="282">
        <f>SUM('Main calculations'!L210:L211)</f>
        <v>766.91725607786179</v>
      </c>
      <c r="M49" s="282">
        <f>SUM('Main calculations'!M210:M211)</f>
        <v>802.57890848548243</v>
      </c>
      <c r="N49" s="282">
        <f>SUM('Main calculations'!N210:N211)</f>
        <v>839.89882773005752</v>
      </c>
      <c r="O49" s="282">
        <f>SUM('Main calculations'!O210:O211)</f>
        <v>878.95412321950516</v>
      </c>
      <c r="P49" s="282">
        <f>SUM('Main calculations'!P210:P211)</f>
        <v>919.82548994921194</v>
      </c>
      <c r="Q49" s="282">
        <f>SUM('Main calculations'!Q210:Q211)</f>
        <v>962.59737523185026</v>
      </c>
      <c r="R49" s="282">
        <f>SUM('Main calculations'!R210:R211)</f>
        <v>1007.3581531801312</v>
      </c>
      <c r="S49" s="282">
        <f>SUM('Main calculations'!S210:S211)</f>
        <v>1054.2003073030073</v>
      </c>
      <c r="T49" s="282">
        <f>SUM('Main calculations'!T210:T211)</f>
        <v>1103.2206215925971</v>
      </c>
      <c r="U49" s="282">
        <f>SUM('Main calculations'!U210:U211)</f>
        <v>1154.5203804966529</v>
      </c>
      <c r="V49" s="282">
        <f>SUM('Main calculations'!V210:V211)</f>
        <v>1208.2055781897473</v>
      </c>
      <c r="W49" s="282">
        <f>SUM('Main calculations'!W210:W211)</f>
        <v>1264.3871375755705</v>
      </c>
      <c r="X49" s="282">
        <f>SUM('Main calculations'!X210:X211)</f>
        <v>1323.1811394728345</v>
      </c>
      <c r="Y49" s="282">
        <f>SUM('Main calculations'!Y210:Y211)</f>
        <v>1384.7090624583211</v>
      </c>
      <c r="Z49" s="282">
        <f>SUM('Main calculations'!Z210:Z211)</f>
        <v>1449.0980338626332</v>
      </c>
      <c r="AA49" s="282">
        <f>SUM('Main calculations'!AA210:AA211)</f>
        <v>1516.4810924372457</v>
      </c>
      <c r="AB49" s="19"/>
      <c r="AC49" s="280">
        <f>'NPV calculations'!B30</f>
        <v>10196.785003323801</v>
      </c>
      <c r="AD49" s="348">
        <f>AC49/AC$51</f>
        <v>7.075408360425231E-2</v>
      </c>
      <c r="AE49" s="280">
        <f>'NPV calculations'!C30</f>
        <v>713.77495023266613</v>
      </c>
      <c r="AF49" s="348">
        <f>AE49/AE$51</f>
        <v>7.0739793151209374E-2</v>
      </c>
      <c r="AG49"/>
      <c r="AH49"/>
    </row>
    <row r="50" spans="1:34" s="27" customFormat="1">
      <c r="A50" s="233"/>
      <c r="B50" s="264"/>
      <c r="C50" s="253"/>
      <c r="D50" s="253"/>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C50" s="37"/>
      <c r="AD50" s="35"/>
      <c r="AE50" s="37"/>
      <c r="AF50" s="254"/>
      <c r="AG50"/>
      <c r="AH50"/>
    </row>
    <row r="51" spans="1:34" s="27" customFormat="1" ht="15" thickBot="1">
      <c r="A51" s="279" t="s">
        <v>576</v>
      </c>
      <c r="B51" s="279" t="s">
        <v>15</v>
      </c>
      <c r="C51" s="283" t="s">
        <v>47</v>
      </c>
      <c r="D51" s="283" t="s">
        <v>47</v>
      </c>
      <c r="E51" s="284">
        <f t="shared" ref="E51:AA51" si="21">SUM(E49,E46,E44,E31,E19)</f>
        <v>582.76380971033916</v>
      </c>
      <c r="F51" s="284">
        <f t="shared" si="21"/>
        <v>596.15112789918567</v>
      </c>
      <c r="G51" s="284">
        <f t="shared" si="21"/>
        <v>1884.7013227291106</v>
      </c>
      <c r="H51" s="284">
        <f t="shared" si="21"/>
        <v>3124.2451152468975</v>
      </c>
      <c r="I51" s="284">
        <f t="shared" si="21"/>
        <v>4484.2948058111369</v>
      </c>
      <c r="J51" s="284">
        <f t="shared" si="21"/>
        <v>5964.7630550415015</v>
      </c>
      <c r="K51" s="284">
        <f t="shared" si="21"/>
        <v>7225.189595605867</v>
      </c>
      <c r="L51" s="284">
        <f t="shared" si="21"/>
        <v>8545.170719480484</v>
      </c>
      <c r="M51" s="284">
        <f t="shared" si="21"/>
        <v>9980.9608093178758</v>
      </c>
      <c r="N51" s="284">
        <f t="shared" si="21"/>
        <v>11545.049165167746</v>
      </c>
      <c r="O51" s="284">
        <f t="shared" si="21"/>
        <v>13252.030849257095</v>
      </c>
      <c r="P51" s="284">
        <f t="shared" si="21"/>
        <v>15119.082510264827</v>
      </c>
      <c r="Q51" s="284">
        <f t="shared" si="21"/>
        <v>17030.15675874822</v>
      </c>
      <c r="R51" s="284">
        <f t="shared" si="21"/>
        <v>19082.403102099412</v>
      </c>
      <c r="S51" s="284">
        <f t="shared" si="21"/>
        <v>21285.491702567011</v>
      </c>
      <c r="T51" s="284">
        <f t="shared" si="21"/>
        <v>23649.845643138258</v>
      </c>
      <c r="U51" s="284">
        <f t="shared" si="21"/>
        <v>26186.71944321282</v>
      </c>
      <c r="V51" s="284">
        <f t="shared" si="21"/>
        <v>28773.521766456626</v>
      </c>
      <c r="W51" s="284">
        <f t="shared" si="21"/>
        <v>30663.250711512414</v>
      </c>
      <c r="X51" s="284">
        <f t="shared" si="21"/>
        <v>32659.095214335226</v>
      </c>
      <c r="Y51" s="284">
        <f t="shared" si="21"/>
        <v>34766.803599986299</v>
      </c>
      <c r="Z51" s="284">
        <f t="shared" si="21"/>
        <v>36992.457550204606</v>
      </c>
      <c r="AA51" s="284">
        <f t="shared" si="21"/>
        <v>38469.500958928504</v>
      </c>
      <c r="AB51" s="19"/>
      <c r="AC51" s="284">
        <f>SUM(AC19,AC31,AC44,AC46,AC49)</f>
        <v>144115.85146600608</v>
      </c>
      <c r="AD51" s="284">
        <f>SUM(AD19,AD31,AD44,AD46,AD49)</f>
        <v>0.99999999999999989</v>
      </c>
      <c r="AE51" s="284">
        <f>SUM(AE19,AE31,AE44,AE46,AE49)</f>
        <v>10090.147545483222</v>
      </c>
      <c r="AF51" s="284">
        <f>SUM(AF19,AF31,AF44,AF46,AF49)</f>
        <v>1</v>
      </c>
      <c r="AG51"/>
      <c r="AH51"/>
    </row>
    <row r="52" spans="1:34" s="27" customFormat="1">
      <c r="A52" s="26" t="s">
        <v>643</v>
      </c>
      <c r="B52" s="26"/>
      <c r="C52" s="26"/>
      <c r="D52" s="26"/>
      <c r="E52" s="26"/>
      <c r="F52" s="26"/>
      <c r="AB52" s="68"/>
      <c r="AG52"/>
      <c r="AH52"/>
    </row>
    <row r="53" spans="1:34" s="27" customFormat="1" ht="11.6">
      <c r="A53" s="26" t="s">
        <v>85</v>
      </c>
      <c r="B53" s="26"/>
      <c r="C53" s="26"/>
      <c r="D53" s="26"/>
      <c r="E53" s="26"/>
      <c r="F53" s="26"/>
      <c r="AB53" s="68"/>
    </row>
    <row r="54" spans="1:34" s="27" customFormat="1" ht="11.6">
      <c r="A54" s="27" t="s">
        <v>834</v>
      </c>
      <c r="B54" s="26"/>
      <c r="C54" s="26"/>
      <c r="D54" s="26"/>
      <c r="E54" s="26"/>
      <c r="F54" s="26"/>
      <c r="AB54" s="68"/>
    </row>
    <row r="55" spans="1:34" s="27" customFormat="1" ht="11.6">
      <c r="A55" s="27" t="s">
        <v>835</v>
      </c>
      <c r="AB55" s="68"/>
    </row>
    <row r="56" spans="1:34" s="27" customFormat="1" ht="11.6">
      <c r="Y56" s="54"/>
      <c r="Z56" s="54"/>
      <c r="AA56" s="218"/>
      <c r="AB56" s="68"/>
    </row>
    <row r="57" spans="1:34" s="27" customFormat="1" ht="12" thickBot="1">
      <c r="A57" s="27" t="s">
        <v>650</v>
      </c>
      <c r="B57" s="230">
        <v>3</v>
      </c>
      <c r="C57" s="27" t="s">
        <v>791</v>
      </c>
      <c r="J57" s="54"/>
      <c r="K57" s="54"/>
      <c r="L57" s="54"/>
      <c r="M57" s="54"/>
      <c r="N57" s="54"/>
      <c r="O57" s="54"/>
      <c r="P57" s="54"/>
      <c r="Q57" s="54"/>
      <c r="R57" s="54"/>
      <c r="S57" s="54"/>
      <c r="T57" s="54"/>
      <c r="U57" s="54"/>
      <c r="V57" s="54"/>
      <c r="W57" s="54"/>
      <c r="X57" s="54"/>
      <c r="Y57" s="54"/>
      <c r="Z57" s="54"/>
      <c r="AA57" s="54"/>
    </row>
    <row r="58" spans="1:34" s="27" customFormat="1" ht="12" thickBot="1">
      <c r="A58" s="14"/>
      <c r="B58" s="14" t="s">
        <v>91</v>
      </c>
      <c r="C58" s="15">
        <v>2016</v>
      </c>
      <c r="D58" s="15">
        <v>2017</v>
      </c>
      <c r="E58" s="15">
        <v>2018</v>
      </c>
      <c r="F58" s="15">
        <v>2019</v>
      </c>
      <c r="G58" s="15">
        <v>2020</v>
      </c>
      <c r="H58" s="15">
        <v>2021</v>
      </c>
      <c r="I58" s="15">
        <v>2022</v>
      </c>
      <c r="J58" s="15">
        <v>2023</v>
      </c>
      <c r="K58" s="15">
        <v>2024</v>
      </c>
      <c r="L58" s="15">
        <v>2025</v>
      </c>
      <c r="M58" s="15">
        <v>2026</v>
      </c>
      <c r="N58" s="15">
        <v>2027</v>
      </c>
      <c r="O58" s="15">
        <v>2028</v>
      </c>
      <c r="P58" s="15">
        <v>2029</v>
      </c>
      <c r="Q58" s="15">
        <v>2030</v>
      </c>
      <c r="R58" s="15">
        <v>2031</v>
      </c>
      <c r="S58" s="15">
        <v>2032</v>
      </c>
      <c r="T58" s="15">
        <v>2033</v>
      </c>
      <c r="U58" s="15">
        <v>2034</v>
      </c>
      <c r="V58" s="15">
        <v>2035</v>
      </c>
      <c r="W58" s="15">
        <v>2036</v>
      </c>
      <c r="X58" s="15">
        <v>2037</v>
      </c>
      <c r="Y58" s="15">
        <v>2038</v>
      </c>
      <c r="Z58" s="15">
        <v>2039</v>
      </c>
      <c r="AA58" s="15">
        <v>2040</v>
      </c>
      <c r="AB58" s="292"/>
      <c r="AC58" s="292" t="s">
        <v>828</v>
      </c>
    </row>
    <row r="59" spans="1:34" s="27" customFormat="1" ht="23.15">
      <c r="A59" s="197" t="s">
        <v>555</v>
      </c>
      <c r="B59" s="263" t="s">
        <v>7</v>
      </c>
      <c r="C59" s="267" t="s">
        <v>47</v>
      </c>
      <c r="D59" s="267" t="s">
        <v>47</v>
      </c>
      <c r="E59" s="267" t="s">
        <v>47</v>
      </c>
      <c r="F59" s="267" t="s">
        <v>47</v>
      </c>
      <c r="G59" s="260">
        <f t="shared" ref="G59:AA59" si="22">G60*G61/100</f>
        <v>2.25</v>
      </c>
      <c r="H59" s="260">
        <f t="shared" si="22"/>
        <v>4.25</v>
      </c>
      <c r="I59" s="260">
        <f t="shared" si="22"/>
        <v>6.25</v>
      </c>
      <c r="J59" s="260">
        <f t="shared" si="22"/>
        <v>8.25</v>
      </c>
      <c r="K59" s="260">
        <f t="shared" si="22"/>
        <v>9.75</v>
      </c>
      <c r="L59" s="260">
        <f t="shared" si="22"/>
        <v>11.25</v>
      </c>
      <c r="M59" s="260">
        <f t="shared" si="22"/>
        <v>12.75</v>
      </c>
      <c r="N59" s="260">
        <f t="shared" si="22"/>
        <v>14.25</v>
      </c>
      <c r="O59" s="260">
        <f t="shared" si="22"/>
        <v>15.75</v>
      </c>
      <c r="P59" s="260">
        <f t="shared" si="22"/>
        <v>17.25</v>
      </c>
      <c r="Q59" s="260">
        <f t="shared" si="22"/>
        <v>18.750000000000004</v>
      </c>
      <c r="R59" s="260">
        <f t="shared" si="22"/>
        <v>20.25</v>
      </c>
      <c r="S59" s="260">
        <f t="shared" si="22"/>
        <v>21.75</v>
      </c>
      <c r="T59" s="260">
        <f t="shared" si="22"/>
        <v>23.25</v>
      </c>
      <c r="U59" s="260">
        <f t="shared" si="22"/>
        <v>24.75</v>
      </c>
      <c r="V59" s="260">
        <f t="shared" si="22"/>
        <v>26.25</v>
      </c>
      <c r="W59" s="260">
        <f t="shared" si="22"/>
        <v>27.1</v>
      </c>
      <c r="X59" s="260">
        <f t="shared" si="22"/>
        <v>27.95</v>
      </c>
      <c r="Y59" s="260">
        <f t="shared" si="22"/>
        <v>28.8</v>
      </c>
      <c r="Z59" s="260">
        <f t="shared" si="22"/>
        <v>29.65</v>
      </c>
      <c r="AA59" s="260">
        <f t="shared" si="22"/>
        <v>29.65</v>
      </c>
      <c r="AC59" s="27" t="s">
        <v>149</v>
      </c>
    </row>
    <row r="60" spans="1:34" s="27" customFormat="1" ht="11.6">
      <c r="A60" s="197" t="s">
        <v>843</v>
      </c>
      <c r="B60" s="264" t="s">
        <v>7</v>
      </c>
      <c r="C60" s="253" t="s">
        <v>47</v>
      </c>
      <c r="D60" s="253" t="s">
        <v>47</v>
      </c>
      <c r="E60" s="253" t="s">
        <v>47</v>
      </c>
      <c r="F60" s="253" t="s">
        <v>47</v>
      </c>
      <c r="G60" s="260">
        <v>5</v>
      </c>
      <c r="H60" s="260">
        <f t="shared" ref="H60:Z60" si="23">G60+5</f>
        <v>10</v>
      </c>
      <c r="I60" s="260">
        <f t="shared" si="23"/>
        <v>15</v>
      </c>
      <c r="J60" s="260">
        <f t="shared" si="23"/>
        <v>20</v>
      </c>
      <c r="K60" s="260">
        <f t="shared" si="23"/>
        <v>25</v>
      </c>
      <c r="L60" s="260">
        <f t="shared" si="23"/>
        <v>30</v>
      </c>
      <c r="M60" s="260">
        <f t="shared" si="23"/>
        <v>35</v>
      </c>
      <c r="N60" s="260">
        <f t="shared" si="23"/>
        <v>40</v>
      </c>
      <c r="O60" s="260">
        <f t="shared" si="23"/>
        <v>45</v>
      </c>
      <c r="P60" s="260">
        <f t="shared" si="23"/>
        <v>50</v>
      </c>
      <c r="Q60" s="260">
        <f t="shared" si="23"/>
        <v>55</v>
      </c>
      <c r="R60" s="260">
        <f t="shared" si="23"/>
        <v>60</v>
      </c>
      <c r="S60" s="260">
        <f t="shared" si="23"/>
        <v>65</v>
      </c>
      <c r="T60" s="260">
        <f t="shared" si="23"/>
        <v>70</v>
      </c>
      <c r="U60" s="260">
        <f t="shared" si="23"/>
        <v>75</v>
      </c>
      <c r="V60" s="260">
        <f t="shared" si="23"/>
        <v>80</v>
      </c>
      <c r="W60" s="260">
        <f t="shared" si="23"/>
        <v>85</v>
      </c>
      <c r="X60" s="260">
        <f t="shared" si="23"/>
        <v>90</v>
      </c>
      <c r="Y60" s="260">
        <f t="shared" si="23"/>
        <v>95</v>
      </c>
      <c r="Z60" s="260">
        <f t="shared" si="23"/>
        <v>100</v>
      </c>
      <c r="AA60" s="260">
        <v>100</v>
      </c>
      <c r="AC60" s="221" t="s">
        <v>145</v>
      </c>
    </row>
    <row r="61" spans="1:34" s="27" customFormat="1" ht="11.6">
      <c r="A61" s="241" t="s">
        <v>844</v>
      </c>
      <c r="B61" s="268" t="s">
        <v>7</v>
      </c>
      <c r="C61" s="269" t="s">
        <v>47</v>
      </c>
      <c r="D61" s="269" t="s">
        <v>47</v>
      </c>
      <c r="E61" s="269" t="s">
        <v>47</v>
      </c>
      <c r="F61" s="269" t="s">
        <v>47</v>
      </c>
      <c r="G61" s="270">
        <f>G62</f>
        <v>45</v>
      </c>
      <c r="H61" s="271">
        <f>($G60/H60)*H62+((H60-$G$60)/H60)*H63</f>
        <v>42.5</v>
      </c>
      <c r="I61" s="271">
        <f>($G60/I60)*I62+((I60-$G$60)/I60)*I63</f>
        <v>41.666666666666664</v>
      </c>
      <c r="J61" s="271">
        <f>($G60/J60)*J62+((J60-$G$60)/J60)*J63</f>
        <v>41.25</v>
      </c>
      <c r="K61" s="271">
        <f t="shared" ref="K61:V61" si="24">($J$61*$J$60/K60)+(K64*(K60-$J$60)/K60)</f>
        <v>39</v>
      </c>
      <c r="L61" s="271">
        <f t="shared" si="24"/>
        <v>37.5</v>
      </c>
      <c r="M61" s="271">
        <f t="shared" si="24"/>
        <v>36.428571428571431</v>
      </c>
      <c r="N61" s="271">
        <f t="shared" si="24"/>
        <v>35.625</v>
      </c>
      <c r="O61" s="271">
        <f t="shared" si="24"/>
        <v>35</v>
      </c>
      <c r="P61" s="271">
        <f t="shared" si="24"/>
        <v>34.5</v>
      </c>
      <c r="Q61" s="271">
        <f t="shared" si="24"/>
        <v>34.090909090909093</v>
      </c>
      <c r="R61" s="271">
        <f t="shared" si="24"/>
        <v>33.75</v>
      </c>
      <c r="S61" s="271">
        <f t="shared" si="24"/>
        <v>33.46153846153846</v>
      </c>
      <c r="T61" s="271">
        <f t="shared" si="24"/>
        <v>33.214285714285715</v>
      </c>
      <c r="U61" s="271">
        <f t="shared" si="24"/>
        <v>33</v>
      </c>
      <c r="V61" s="271">
        <f t="shared" si="24"/>
        <v>32.8125</v>
      </c>
      <c r="W61" s="271">
        <f>($V$61*$V$60/W60)+(W65*(W60-$V$60)/W60)</f>
        <v>31.882352941176471</v>
      </c>
      <c r="X61" s="271">
        <f>($V$61*$V$60/X60)+(X65*(X60-$V$60)/X60)</f>
        <v>31.055555555555557</v>
      </c>
      <c r="Y61" s="271">
        <f>($V$61*$V$60/Y60)+(Y65*(Y60-$V$60)/Y60)</f>
        <v>30.315789473684212</v>
      </c>
      <c r="Z61" s="271">
        <f>($V$61*$V$60/Z60)+(Z65*(Z60-$V$60)/Z60)</f>
        <v>29.65</v>
      </c>
      <c r="AA61" s="271">
        <f>0.05*AA62+0.15*AA63+0.6*AA64+0.2*AA65</f>
        <v>29.65</v>
      </c>
      <c r="AC61" s="27" t="s">
        <v>821</v>
      </c>
    </row>
    <row r="62" spans="1:34" s="27" customFormat="1" ht="11.6">
      <c r="A62" s="33" t="s">
        <v>845</v>
      </c>
      <c r="B62" s="268" t="s">
        <v>7</v>
      </c>
      <c r="C62" s="272"/>
      <c r="D62" s="272"/>
      <c r="E62" s="272"/>
      <c r="F62" s="272"/>
      <c r="G62" s="272">
        <v>45</v>
      </c>
      <c r="H62" s="272">
        <v>45</v>
      </c>
      <c r="I62" s="272">
        <v>45</v>
      </c>
      <c r="J62" s="272">
        <v>45</v>
      </c>
      <c r="K62" s="272">
        <v>45</v>
      </c>
      <c r="L62" s="272">
        <v>45</v>
      </c>
      <c r="M62" s="272">
        <v>45</v>
      </c>
      <c r="N62" s="272">
        <v>45</v>
      </c>
      <c r="O62" s="272">
        <v>45</v>
      </c>
      <c r="P62" s="272">
        <v>45</v>
      </c>
      <c r="Q62" s="272">
        <v>45</v>
      </c>
      <c r="R62" s="272">
        <v>45</v>
      </c>
      <c r="S62" s="272">
        <v>45</v>
      </c>
      <c r="T62" s="272">
        <v>45</v>
      </c>
      <c r="U62" s="272">
        <v>45</v>
      </c>
      <c r="V62" s="272">
        <v>45</v>
      </c>
      <c r="W62" s="272">
        <v>45</v>
      </c>
      <c r="X62" s="272">
        <v>45</v>
      </c>
      <c r="Y62" s="272">
        <v>45</v>
      </c>
      <c r="Z62" s="272">
        <v>45</v>
      </c>
      <c r="AA62" s="272">
        <v>45</v>
      </c>
      <c r="AC62" s="221" t="s">
        <v>678</v>
      </c>
    </row>
    <row r="63" spans="1:34" s="27" customFormat="1" ht="11.6">
      <c r="A63" s="33" t="s">
        <v>846</v>
      </c>
      <c r="B63" s="268" t="s">
        <v>7</v>
      </c>
      <c r="C63" s="272"/>
      <c r="D63" s="272"/>
      <c r="E63" s="272"/>
      <c r="F63" s="272"/>
      <c r="G63" s="272"/>
      <c r="H63" s="272">
        <v>40</v>
      </c>
      <c r="I63" s="272">
        <v>40</v>
      </c>
      <c r="J63" s="272">
        <v>40</v>
      </c>
      <c r="K63" s="272">
        <v>40</v>
      </c>
      <c r="L63" s="272">
        <v>40</v>
      </c>
      <c r="M63" s="272">
        <v>40</v>
      </c>
      <c r="N63" s="272">
        <v>40</v>
      </c>
      <c r="O63" s="272">
        <v>40</v>
      </c>
      <c r="P63" s="272">
        <v>40</v>
      </c>
      <c r="Q63" s="272">
        <v>40</v>
      </c>
      <c r="R63" s="272">
        <v>40</v>
      </c>
      <c r="S63" s="272">
        <v>40</v>
      </c>
      <c r="T63" s="272">
        <v>40</v>
      </c>
      <c r="U63" s="272">
        <v>40</v>
      </c>
      <c r="V63" s="272">
        <v>40</v>
      </c>
      <c r="W63" s="272">
        <v>40</v>
      </c>
      <c r="X63" s="272">
        <v>40</v>
      </c>
      <c r="Y63" s="272">
        <v>40</v>
      </c>
      <c r="Z63" s="272">
        <v>40</v>
      </c>
      <c r="AA63" s="272">
        <v>40</v>
      </c>
      <c r="AC63" s="27" t="s">
        <v>1103</v>
      </c>
    </row>
    <row r="64" spans="1:34" s="27" customFormat="1" ht="11.6">
      <c r="A64" s="33" t="s">
        <v>847</v>
      </c>
      <c r="B64" s="268" t="s">
        <v>7</v>
      </c>
      <c r="C64" s="272"/>
      <c r="D64" s="272"/>
      <c r="E64" s="272"/>
      <c r="F64" s="272"/>
      <c r="G64" s="272"/>
      <c r="H64" s="272"/>
      <c r="I64" s="273"/>
      <c r="J64" s="273"/>
      <c r="K64" s="273">
        <v>30</v>
      </c>
      <c r="L64" s="273">
        <v>30</v>
      </c>
      <c r="M64" s="273">
        <v>30</v>
      </c>
      <c r="N64" s="273">
        <v>30</v>
      </c>
      <c r="O64" s="273">
        <v>30</v>
      </c>
      <c r="P64" s="273">
        <v>30</v>
      </c>
      <c r="Q64" s="273">
        <v>30</v>
      </c>
      <c r="R64" s="273">
        <v>30</v>
      </c>
      <c r="S64" s="273">
        <v>30</v>
      </c>
      <c r="T64" s="273">
        <v>30</v>
      </c>
      <c r="U64" s="273">
        <v>30</v>
      </c>
      <c r="V64" s="273">
        <v>30</v>
      </c>
      <c r="W64" s="273">
        <v>30</v>
      </c>
      <c r="X64" s="273">
        <v>30</v>
      </c>
      <c r="Y64" s="273">
        <v>30</v>
      </c>
      <c r="Z64" s="273">
        <v>30</v>
      </c>
      <c r="AA64" s="273">
        <v>30</v>
      </c>
    </row>
    <row r="65" spans="1:29" s="27" customFormat="1" ht="12" thickBot="1">
      <c r="A65" s="234" t="s">
        <v>848</v>
      </c>
      <c r="B65" s="266" t="s">
        <v>7</v>
      </c>
      <c r="C65" s="259"/>
      <c r="D65" s="259"/>
      <c r="E65" s="259"/>
      <c r="F65" s="259"/>
      <c r="G65" s="274"/>
      <c r="H65" s="275"/>
      <c r="I65" s="275"/>
      <c r="J65" s="275"/>
      <c r="K65" s="275"/>
      <c r="L65" s="275"/>
      <c r="M65" s="275"/>
      <c r="N65" s="275"/>
      <c r="O65" s="275"/>
      <c r="P65" s="275"/>
      <c r="Q65" s="275"/>
      <c r="R65" s="275"/>
      <c r="S65" s="275"/>
      <c r="T65" s="275"/>
      <c r="U65" s="275"/>
      <c r="V65" s="275"/>
      <c r="W65" s="275">
        <v>17</v>
      </c>
      <c r="X65" s="275">
        <v>17</v>
      </c>
      <c r="Y65" s="275">
        <v>17</v>
      </c>
      <c r="Z65" s="275">
        <v>17</v>
      </c>
      <c r="AA65" s="275">
        <v>17</v>
      </c>
      <c r="AB65" s="225"/>
      <c r="AC65" s="225"/>
    </row>
    <row r="66" spans="1:29" s="27" customFormat="1" ht="11.6">
      <c r="A66" s="33"/>
      <c r="B66" s="240"/>
      <c r="C66" s="33"/>
      <c r="D66" s="33"/>
      <c r="E66" s="33"/>
      <c r="F66" s="33"/>
      <c r="G66" s="33"/>
      <c r="H66" s="33"/>
      <c r="I66" s="33"/>
      <c r="J66" s="33"/>
      <c r="K66" s="33"/>
      <c r="L66" s="33"/>
      <c r="M66" s="33"/>
      <c r="N66" s="33"/>
      <c r="O66" s="33"/>
      <c r="P66" s="33"/>
      <c r="Q66" s="33"/>
      <c r="R66" s="33"/>
      <c r="S66" s="33"/>
      <c r="T66" s="33"/>
      <c r="U66" s="33"/>
      <c r="V66" s="33"/>
      <c r="W66" s="33"/>
      <c r="X66" s="33"/>
      <c r="Y66" s="33"/>
      <c r="Z66" s="33"/>
      <c r="AA66" s="33"/>
    </row>
    <row r="67" spans="1:29" s="27" customFormat="1" ht="11.6"/>
    <row r="68" spans="1:29" s="27" customFormat="1" ht="11.6">
      <c r="A68" s="27" t="s">
        <v>650</v>
      </c>
      <c r="B68" s="27">
        <v>4</v>
      </c>
      <c r="C68" s="27" t="s">
        <v>792</v>
      </c>
    </row>
    <row r="69" spans="1:29" s="27" customFormat="1" ht="12" thickBot="1">
      <c r="C69" s="27" t="s">
        <v>578</v>
      </c>
    </row>
    <row r="70" spans="1:29" s="27" customFormat="1" ht="12" thickBot="1">
      <c r="A70" s="14"/>
      <c r="B70" s="14" t="s">
        <v>91</v>
      </c>
      <c r="C70" s="15">
        <v>2016</v>
      </c>
      <c r="D70" s="15">
        <v>2017</v>
      </c>
      <c r="E70" s="15">
        <v>2018</v>
      </c>
      <c r="F70" s="15">
        <v>2019</v>
      </c>
      <c r="G70" s="15">
        <v>2020</v>
      </c>
      <c r="H70" s="15">
        <v>2021</v>
      </c>
      <c r="I70" s="15">
        <v>2022</v>
      </c>
      <c r="J70" s="15">
        <v>2023</v>
      </c>
      <c r="K70" s="15">
        <v>2024</v>
      </c>
      <c r="L70" s="15">
        <v>2025</v>
      </c>
      <c r="M70" s="15">
        <v>2026</v>
      </c>
      <c r="N70" s="15">
        <v>2027</v>
      </c>
      <c r="O70" s="15">
        <v>2028</v>
      </c>
      <c r="P70" s="15">
        <v>2029</v>
      </c>
      <c r="Q70" s="15">
        <v>2030</v>
      </c>
      <c r="R70" s="15">
        <v>2031</v>
      </c>
      <c r="S70" s="15">
        <v>2032</v>
      </c>
      <c r="T70" s="15">
        <v>2033</v>
      </c>
      <c r="U70" s="15">
        <v>2034</v>
      </c>
      <c r="V70" s="15">
        <v>2035</v>
      </c>
      <c r="W70" s="15">
        <v>2036</v>
      </c>
      <c r="X70" s="15">
        <v>2037</v>
      </c>
      <c r="Y70" s="15">
        <v>2038</v>
      </c>
      <c r="Z70" s="15">
        <v>2039</v>
      </c>
      <c r="AA70" s="15">
        <v>2040</v>
      </c>
      <c r="AB70" s="292"/>
      <c r="AC70" s="292" t="s">
        <v>828</v>
      </c>
    </row>
    <row r="71" spans="1:29" s="27" customFormat="1" ht="34.75">
      <c r="A71" s="220" t="s">
        <v>945</v>
      </c>
      <c r="B71" s="216" t="s">
        <v>15</v>
      </c>
      <c r="C71" s="230" t="s">
        <v>47</v>
      </c>
      <c r="D71" s="230" t="s">
        <v>47</v>
      </c>
      <c r="E71" s="230" t="s">
        <v>47</v>
      </c>
      <c r="F71" s="230" t="s">
        <v>47</v>
      </c>
      <c r="G71" s="53">
        <f>SUM(G72:G74)</f>
        <v>13.741667638049677</v>
      </c>
      <c r="H71" s="53">
        <f t="shared" ref="H71:AA71" si="25">SUM(H72:H74)</f>
        <v>26.501569465958688</v>
      </c>
      <c r="I71" s="53">
        <f t="shared" si="25"/>
        <v>39.7913270952115</v>
      </c>
      <c r="J71" s="53">
        <f t="shared" si="25"/>
        <v>53.627567352758447</v>
      </c>
      <c r="K71" s="53">
        <f t="shared" si="25"/>
        <v>64.708972861196614</v>
      </c>
      <c r="L71" s="53">
        <f t="shared" si="25"/>
        <v>76.232147643786604</v>
      </c>
      <c r="M71" s="53">
        <f t="shared" si="25"/>
        <v>88.210759110213587</v>
      </c>
      <c r="N71" s="53">
        <f t="shared" si="25"/>
        <v>100.65885388111965</v>
      </c>
      <c r="O71" s="53">
        <f t="shared" si="25"/>
        <v>113.59086768763606</v>
      </c>
      <c r="P71" s="53">
        <f t="shared" si="25"/>
        <v>127.02163551946467</v>
      </c>
      <c r="Q71" s="53">
        <f t="shared" si="25"/>
        <v>140.96640202757982</v>
      </c>
      <c r="R71" s="53">
        <f t="shared" si="25"/>
        <v>155.4408321877716</v>
      </c>
      <c r="S71" s="53">
        <f t="shared" si="25"/>
        <v>170.46102223139741</v>
      </c>
      <c r="T71" s="53">
        <f t="shared" si="25"/>
        <v>186.04351084986064</v>
      </c>
      <c r="U71" s="53">
        <f t="shared" si="25"/>
        <v>202.20529067949528</v>
      </c>
      <c r="V71" s="53">
        <f t="shared" si="25"/>
        <v>218.96382007368982</v>
      </c>
      <c r="W71" s="53">
        <f t="shared" si="25"/>
        <v>230.80121272384491</v>
      </c>
      <c r="X71" s="53">
        <f t="shared" si="25"/>
        <v>243.03921282065411</v>
      </c>
      <c r="Y71" s="53">
        <f t="shared" si="25"/>
        <v>255.68942558671802</v>
      </c>
      <c r="Z71" s="53">
        <f t="shared" si="25"/>
        <v>268.76376699610273</v>
      </c>
      <c r="AA71" s="53">
        <f t="shared" si="25"/>
        <v>274.40780610302079</v>
      </c>
      <c r="AC71" s="27" t="s">
        <v>949</v>
      </c>
    </row>
    <row r="72" spans="1:29" s="27" customFormat="1" ht="11.6">
      <c r="A72" s="27" t="s">
        <v>849</v>
      </c>
      <c r="B72" s="388" t="s">
        <v>15</v>
      </c>
      <c r="C72" s="230" t="s">
        <v>47</v>
      </c>
      <c r="D72" s="230" t="s">
        <v>47</v>
      </c>
      <c r="E72" s="230" t="s">
        <v>47</v>
      </c>
      <c r="F72" s="230" t="s">
        <v>47</v>
      </c>
      <c r="G72" s="38">
        <f>G76/2.5</f>
        <v>3.3131415473564507</v>
      </c>
      <c r="H72" s="38">
        <f t="shared" ref="H72:AA74" si="26">H76/2.5</f>
        <v>6.3895775374962103</v>
      </c>
      <c r="I72" s="38">
        <f t="shared" si="26"/>
        <v>9.5937627437994575</v>
      </c>
      <c r="J72" s="38">
        <f t="shared" si="26"/>
        <v>12.929705925073407</v>
      </c>
      <c r="K72" s="38">
        <f t="shared" si="26"/>
        <v>15.601453340318113</v>
      </c>
      <c r="L72" s="38">
        <f t="shared" si="26"/>
        <v>18.379712146690146</v>
      </c>
      <c r="M72" s="38">
        <f t="shared" si="26"/>
        <v>21.267777582006723</v>
      </c>
      <c r="N72" s="38">
        <f t="shared" si="26"/>
        <v>24.269036312549911</v>
      </c>
      <c r="O72" s="38">
        <f t="shared" si="26"/>
        <v>27.386968819862233</v>
      </c>
      <c r="P72" s="38">
        <f t="shared" si="26"/>
        <v>30.625151847467851</v>
      </c>
      <c r="Q72" s="38">
        <f t="shared" si="26"/>
        <v>33.987260908983345</v>
      </c>
      <c r="R72" s="38">
        <f t="shared" si="26"/>
        <v>37.477072859117733</v>
      </c>
      <c r="S72" s="38">
        <f t="shared" si="26"/>
        <v>41.09846852909692</v>
      </c>
      <c r="T72" s="38">
        <f t="shared" si="26"/>
        <v>44.855435428084363</v>
      </c>
      <c r="U72" s="38">
        <f t="shared" si="26"/>
        <v>48.752070512207943</v>
      </c>
      <c r="V72" s="38">
        <f t="shared" si="26"/>
        <v>52.792583022840937</v>
      </c>
      <c r="W72" s="38">
        <f t="shared" si="26"/>
        <v>55.646600339706197</v>
      </c>
      <c r="X72" s="38">
        <f t="shared" si="26"/>
        <v>58.597204854766758</v>
      </c>
      <c r="Y72" s="38">
        <f t="shared" si="26"/>
        <v>61.647194608710016</v>
      </c>
      <c r="Z72" s="38">
        <f t="shared" si="26"/>
        <v>64.799442564977952</v>
      </c>
      <c r="AA72" s="38">
        <f t="shared" si="26"/>
        <v>66.160230858842468</v>
      </c>
    </row>
    <row r="73" spans="1:29" s="27" customFormat="1" ht="11.6">
      <c r="A73" s="27" t="s">
        <v>850</v>
      </c>
      <c r="B73" s="388" t="s">
        <v>15</v>
      </c>
      <c r="C73" s="230" t="s">
        <v>47</v>
      </c>
      <c r="D73" s="230" t="s">
        <v>47</v>
      </c>
      <c r="E73" s="230" t="s">
        <v>47</v>
      </c>
      <c r="F73" s="230" t="s">
        <v>47</v>
      </c>
      <c r="G73" s="38">
        <f t="shared" ref="G73:V74" si="27">G77/2.5</f>
        <v>4.9000883319960256</v>
      </c>
      <c r="H73" s="38">
        <f t="shared" si="27"/>
        <v>9.4500925753838878</v>
      </c>
      <c r="I73" s="38">
        <f t="shared" si="27"/>
        <v>14.189036058039633</v>
      </c>
      <c r="J73" s="38">
        <f t="shared" si="27"/>
        <v>19.122847676141181</v>
      </c>
      <c r="K73" s="38">
        <f t="shared" si="27"/>
        <v>23.074323382311075</v>
      </c>
      <c r="L73" s="38">
        <f t="shared" si="27"/>
        <v>27.183327892314924</v>
      </c>
      <c r="M73" s="38">
        <f t="shared" si="27"/>
        <v>31.454734815127335</v>
      </c>
      <c r="N73" s="38">
        <f t="shared" si="27"/>
        <v>35.893552981097372</v>
      </c>
      <c r="O73" s="38">
        <f t="shared" si="27"/>
        <v>40.504929971984652</v>
      </c>
      <c r="P73" s="38">
        <f t="shared" si="27"/>
        <v>45.29415573962455</v>
      </c>
      <c r="Q73" s="38">
        <f t="shared" si="27"/>
        <v>50.266666315387695</v>
      </c>
      <c r="R73" s="38">
        <f t="shared" si="27"/>
        <v>55.428047612651653</v>
      </c>
      <c r="S73" s="38">
        <f t="shared" si="27"/>
        <v>60.784039324555657</v>
      </c>
      <c r="T73" s="38">
        <f t="shared" si="27"/>
        <v>66.340538919362473</v>
      </c>
      <c r="U73" s="38">
        <f t="shared" si="27"/>
        <v>72.103605735808998</v>
      </c>
      <c r="V73" s="38">
        <f t="shared" si="27"/>
        <v>78.079465180882892</v>
      </c>
      <c r="W73" s="38">
        <f t="shared" si="26"/>
        <v>82.300515429956789</v>
      </c>
      <c r="X73" s="38">
        <f t="shared" si="26"/>
        <v>86.66441674534704</v>
      </c>
      <c r="Y73" s="38">
        <f t="shared" si="26"/>
        <v>91.175307388679101</v>
      </c>
      <c r="Z73" s="38">
        <f t="shared" si="26"/>
        <v>95.837436431246374</v>
      </c>
      <c r="AA73" s="38">
        <f t="shared" si="26"/>
        <v>97.850022596302537</v>
      </c>
    </row>
    <row r="74" spans="1:29" s="27" customFormat="1" ht="11.6">
      <c r="A74" s="27" t="s">
        <v>851</v>
      </c>
      <c r="B74" s="388" t="s">
        <v>15</v>
      </c>
      <c r="C74" s="230" t="s">
        <v>47</v>
      </c>
      <c r="D74" s="230" t="s">
        <v>47</v>
      </c>
      <c r="E74" s="230" t="s">
        <v>47</v>
      </c>
      <c r="F74" s="230" t="s">
        <v>47</v>
      </c>
      <c r="G74" s="38">
        <f t="shared" si="27"/>
        <v>5.5284377586972004</v>
      </c>
      <c r="H74" s="38">
        <f t="shared" si="26"/>
        <v>10.661899353078589</v>
      </c>
      <c r="I74" s="38">
        <f t="shared" si="26"/>
        <v>16.008528293372407</v>
      </c>
      <c r="J74" s="38">
        <f t="shared" si="26"/>
        <v>21.575013751543864</v>
      </c>
      <c r="K74" s="38">
        <f t="shared" si="26"/>
        <v>26.033196138567423</v>
      </c>
      <c r="L74" s="38">
        <f t="shared" si="26"/>
        <v>30.669107604781534</v>
      </c>
      <c r="M74" s="38">
        <f t="shared" si="26"/>
        <v>35.488246713079533</v>
      </c>
      <c r="N74" s="38">
        <f t="shared" si="26"/>
        <v>40.496264587472361</v>
      </c>
      <c r="O74" s="38">
        <f t="shared" si="26"/>
        <v>45.698968895789186</v>
      </c>
      <c r="P74" s="38">
        <f t="shared" si="26"/>
        <v>51.102327932372262</v>
      </c>
      <c r="Q74" s="38">
        <f t="shared" si="26"/>
        <v>56.712474803208792</v>
      </c>
      <c r="R74" s="38">
        <f t="shared" si="26"/>
        <v>62.535711716002233</v>
      </c>
      <c r="S74" s="38">
        <f t="shared" si="26"/>
        <v>68.57851437774481</v>
      </c>
      <c r="T74" s="38">
        <f t="shared" si="26"/>
        <v>74.847536502413817</v>
      </c>
      <c r="U74" s="38">
        <f t="shared" si="26"/>
        <v>81.349614431478329</v>
      </c>
      <c r="V74" s="38">
        <f t="shared" si="26"/>
        <v>88.091771869965996</v>
      </c>
      <c r="W74" s="38">
        <f t="shared" si="26"/>
        <v>92.854096954181927</v>
      </c>
      <c r="X74" s="38">
        <f t="shared" si="26"/>
        <v>97.777591220540302</v>
      </c>
      <c r="Y74" s="38">
        <f t="shared" si="26"/>
        <v>102.86692358932892</v>
      </c>
      <c r="Z74" s="38">
        <f t="shared" si="26"/>
        <v>108.12688799987839</v>
      </c>
      <c r="AA74" s="38">
        <f t="shared" si="26"/>
        <v>110.39755264787581</v>
      </c>
    </row>
    <row r="75" spans="1:29" s="27" customFormat="1" ht="34.75">
      <c r="A75" s="220" t="s">
        <v>944</v>
      </c>
      <c r="B75" s="216" t="s">
        <v>15</v>
      </c>
      <c r="C75" s="230" t="s">
        <v>47</v>
      </c>
      <c r="D75" s="230" t="s">
        <v>47</v>
      </c>
      <c r="E75" s="230" t="s">
        <v>47</v>
      </c>
      <c r="F75" s="230" t="s">
        <v>47</v>
      </c>
      <c r="G75" s="53">
        <f>SUM(G76:G78)</f>
        <v>34.354169095124192</v>
      </c>
      <c r="H75" s="53">
        <f t="shared" ref="H75" si="28">SUM(H76:H78)</f>
        <v>66.253923664896718</v>
      </c>
      <c r="I75" s="53">
        <f t="shared" ref="I75" si="29">SUM(I76:I78)</f>
        <v>99.47831773802875</v>
      </c>
      <c r="J75" s="53">
        <f t="shared" ref="J75" si="30">SUM(J76:J78)</f>
        <v>134.06891838189611</v>
      </c>
      <c r="K75" s="53">
        <f t="shared" ref="K75" si="31">SUM(K76:K78)</f>
        <v>161.77243215299154</v>
      </c>
      <c r="L75" s="53">
        <f t="shared" ref="L75" si="32">SUM(L76:L78)</f>
        <v>190.58036910946652</v>
      </c>
      <c r="M75" s="53">
        <f t="shared" ref="M75" si="33">SUM(M76:M78)</f>
        <v>220.526897775534</v>
      </c>
      <c r="N75" s="53">
        <f t="shared" ref="N75" si="34">SUM(N76:N78)</f>
        <v>251.64713470279912</v>
      </c>
      <c r="O75" s="53">
        <f t="shared" ref="O75" si="35">SUM(O76:O78)</f>
        <v>283.97716921909023</v>
      </c>
      <c r="P75" s="53">
        <f t="shared" ref="P75" si="36">SUM(P76:P78)</f>
        <v>317.55408879866167</v>
      </c>
      <c r="Q75" s="53">
        <f t="shared" ref="Q75" si="37">SUM(Q76:Q78)</f>
        <v>352.41600506894963</v>
      </c>
      <c r="R75" s="53">
        <f t="shared" ref="R75" si="38">SUM(R76:R78)</f>
        <v>388.60208046942904</v>
      </c>
      <c r="S75" s="53">
        <f t="shared" ref="S75" si="39">SUM(S76:S78)</f>
        <v>426.15255557849343</v>
      </c>
      <c r="T75" s="53">
        <f t="shared" ref="T75" si="40">SUM(T76:T78)</f>
        <v>465.10877712465162</v>
      </c>
      <c r="U75" s="53">
        <f t="shared" ref="U75" si="41">SUM(U76:U78)</f>
        <v>505.51322669873821</v>
      </c>
      <c r="V75" s="53">
        <f t="shared" ref="V75" si="42">SUM(V76:V78)</f>
        <v>547.4095501842246</v>
      </c>
      <c r="W75" s="53">
        <f t="shared" ref="W75" si="43">SUM(W76:W78)</f>
        <v>577.00303180961237</v>
      </c>
      <c r="X75" s="53">
        <f t="shared" ref="X75" si="44">SUM(X76:X78)</f>
        <v>607.5980320516353</v>
      </c>
      <c r="Y75" s="53">
        <f t="shared" ref="Y75" si="45">SUM(Y76:Y78)</f>
        <v>639.22356396679504</v>
      </c>
      <c r="Z75" s="53">
        <f t="shared" ref="Z75" si="46">SUM(Z76:Z78)</f>
        <v>671.90941749025683</v>
      </c>
      <c r="AA75" s="53">
        <f t="shared" ref="AA75" si="47">SUM(AA76:AA78)</f>
        <v>686.01951525755203</v>
      </c>
      <c r="AC75" s="221" t="s">
        <v>948</v>
      </c>
    </row>
    <row r="76" spans="1:29" s="27" customFormat="1" ht="11.6">
      <c r="A76" s="27" t="s">
        <v>849</v>
      </c>
      <c r="B76" s="388" t="s">
        <v>15</v>
      </c>
      <c r="C76" s="230" t="s">
        <v>47</v>
      </c>
      <c r="D76" s="230" t="s">
        <v>47</v>
      </c>
      <c r="E76" s="230" t="s">
        <v>47</v>
      </c>
      <c r="F76" s="230" t="s">
        <v>47</v>
      </c>
      <c r="G76" s="38">
        <f>G80*4</f>
        <v>8.2828538683911272</v>
      </c>
      <c r="H76" s="38">
        <f t="shared" ref="H76:AA76" si="48">H80*4</f>
        <v>15.973943843740527</v>
      </c>
      <c r="I76" s="38">
        <f t="shared" si="48"/>
        <v>23.984406859498645</v>
      </c>
      <c r="J76" s="38">
        <f t="shared" si="48"/>
        <v>32.324264812683516</v>
      </c>
      <c r="K76" s="38">
        <f t="shared" si="48"/>
        <v>39.003633350795283</v>
      </c>
      <c r="L76" s="38">
        <f t="shared" si="48"/>
        <v>45.949280366725361</v>
      </c>
      <c r="M76" s="38">
        <f t="shared" si="48"/>
        <v>53.16944395501681</v>
      </c>
      <c r="N76" s="38">
        <f t="shared" si="48"/>
        <v>60.67259078137478</v>
      </c>
      <c r="O76" s="38">
        <f t="shared" si="48"/>
        <v>68.467422049655582</v>
      </c>
      <c r="P76" s="38">
        <f t="shared" si="48"/>
        <v>76.562879618669626</v>
      </c>
      <c r="Q76" s="38">
        <f t="shared" si="48"/>
        <v>84.968152272458354</v>
      </c>
      <c r="R76" s="38">
        <f t="shared" si="48"/>
        <v>93.692682147794329</v>
      </c>
      <c r="S76" s="38">
        <f t="shared" si="48"/>
        <v>102.7461713227423</v>
      </c>
      <c r="T76" s="38">
        <f t="shared" si="48"/>
        <v>112.1385885702109</v>
      </c>
      <c r="U76" s="38">
        <f t="shared" si="48"/>
        <v>121.88017628051986</v>
      </c>
      <c r="V76" s="38">
        <f t="shared" si="48"/>
        <v>131.98145755710235</v>
      </c>
      <c r="W76" s="38">
        <f t="shared" si="48"/>
        <v>139.11650084926549</v>
      </c>
      <c r="X76" s="38">
        <f t="shared" si="48"/>
        <v>146.49301213691689</v>
      </c>
      <c r="Y76" s="38">
        <f t="shared" si="48"/>
        <v>154.11798652177504</v>
      </c>
      <c r="Z76" s="38">
        <f t="shared" si="48"/>
        <v>161.99860641244487</v>
      </c>
      <c r="AA76" s="38">
        <f t="shared" si="48"/>
        <v>165.40057714710616</v>
      </c>
    </row>
    <row r="77" spans="1:29" s="27" customFormat="1" ht="11.6">
      <c r="A77" s="27" t="s">
        <v>850</v>
      </c>
      <c r="B77" s="388" t="s">
        <v>15</v>
      </c>
      <c r="C77" s="230" t="s">
        <v>47</v>
      </c>
      <c r="D77" s="230" t="s">
        <v>47</v>
      </c>
      <c r="E77" s="230" t="s">
        <v>47</v>
      </c>
      <c r="F77" s="230" t="s">
        <v>47</v>
      </c>
      <c r="G77" s="38">
        <f t="shared" ref="G77:G78" si="49">G81*4</f>
        <v>12.250220829990063</v>
      </c>
      <c r="H77" s="38">
        <f t="shared" ref="H77:H78" si="50">H81*4</f>
        <v>23.625231438459721</v>
      </c>
      <c r="I77" s="38">
        <f t="shared" ref="I77:I78" si="51">I81*4</f>
        <v>35.472590145099083</v>
      </c>
      <c r="J77" s="38">
        <f t="shared" ref="J77:J78" si="52">J81*4</f>
        <v>47.80711919035295</v>
      </c>
      <c r="K77" s="38">
        <f t="shared" ref="K77:K78" si="53">K81*4</f>
        <v>57.685808455777689</v>
      </c>
      <c r="L77" s="38">
        <f t="shared" ref="L77:L78" si="54">L81*4</f>
        <v>67.958319730787309</v>
      </c>
      <c r="M77" s="38">
        <f t="shared" ref="M77:M78" si="55">M81*4</f>
        <v>78.636837037818339</v>
      </c>
      <c r="N77" s="38">
        <f t="shared" ref="N77:N78" si="56">N81*4</f>
        <v>89.73388245274343</v>
      </c>
      <c r="O77" s="38">
        <f t="shared" ref="O77:O78" si="57">O81*4</f>
        <v>101.26232492996164</v>
      </c>
      <c r="P77" s="38">
        <f t="shared" ref="P77:P78" si="58">P81*4</f>
        <v>113.23538934906138</v>
      </c>
      <c r="Q77" s="38">
        <f t="shared" ref="Q77:Q78" si="59">Q81*4</f>
        <v>125.66666578846925</v>
      </c>
      <c r="R77" s="38">
        <f t="shared" ref="R77:R78" si="60">R81*4</f>
        <v>138.57011903162913</v>
      </c>
      <c r="S77" s="38">
        <f t="shared" ref="S77:S78" si="61">S81*4</f>
        <v>151.96009831138915</v>
      </c>
      <c r="T77" s="38">
        <f t="shared" ref="T77:T78" si="62">T81*4</f>
        <v>165.85134729840618</v>
      </c>
      <c r="U77" s="38">
        <f t="shared" ref="U77:U78" si="63">U81*4</f>
        <v>180.25901433952251</v>
      </c>
      <c r="V77" s="38">
        <f t="shared" ref="V77:V78" si="64">V81*4</f>
        <v>195.19866295220723</v>
      </c>
      <c r="W77" s="38">
        <f t="shared" ref="W77:W78" si="65">W81*4</f>
        <v>205.75128857489199</v>
      </c>
      <c r="X77" s="38">
        <f t="shared" ref="X77:X78" si="66">X81*4</f>
        <v>216.66104186336761</v>
      </c>
      <c r="Y77" s="38">
        <f t="shared" ref="Y77:Y78" si="67">Y81*4</f>
        <v>227.93826847169774</v>
      </c>
      <c r="Z77" s="38">
        <f t="shared" ref="Z77:Z78" si="68">Z81*4</f>
        <v>239.59359107811594</v>
      </c>
      <c r="AA77" s="38">
        <f t="shared" ref="AA77:AA78" si="69">AA81*4</f>
        <v>244.62505649075635</v>
      </c>
    </row>
    <row r="78" spans="1:29" s="27" customFormat="1" ht="11.6">
      <c r="A78" s="27" t="s">
        <v>851</v>
      </c>
      <c r="B78" s="388" t="s">
        <v>15</v>
      </c>
      <c r="C78" s="230" t="s">
        <v>47</v>
      </c>
      <c r="D78" s="230" t="s">
        <v>47</v>
      </c>
      <c r="E78" s="230" t="s">
        <v>47</v>
      </c>
      <c r="F78" s="230" t="s">
        <v>47</v>
      </c>
      <c r="G78" s="38">
        <f t="shared" si="49"/>
        <v>13.821094396743002</v>
      </c>
      <c r="H78" s="38">
        <f t="shared" si="50"/>
        <v>26.654748382696472</v>
      </c>
      <c r="I78" s="38">
        <f t="shared" si="51"/>
        <v>40.021320733431018</v>
      </c>
      <c r="J78" s="38">
        <f t="shared" si="52"/>
        <v>53.93753437885966</v>
      </c>
      <c r="K78" s="38">
        <f t="shared" si="53"/>
        <v>65.082990346418555</v>
      </c>
      <c r="L78" s="38">
        <f t="shared" si="54"/>
        <v>76.672769011953832</v>
      </c>
      <c r="M78" s="38">
        <f t="shared" si="55"/>
        <v>88.720616782698841</v>
      </c>
      <c r="N78" s="38">
        <f t="shared" si="56"/>
        <v>101.2406614686809</v>
      </c>
      <c r="O78" s="38">
        <f t="shared" si="57"/>
        <v>114.24742223947297</v>
      </c>
      <c r="P78" s="38">
        <f t="shared" si="58"/>
        <v>127.75581983093065</v>
      </c>
      <c r="Q78" s="38">
        <f t="shared" si="59"/>
        <v>141.78118700802199</v>
      </c>
      <c r="R78" s="38">
        <f t="shared" si="60"/>
        <v>156.33927929000558</v>
      </c>
      <c r="S78" s="38">
        <f t="shared" si="61"/>
        <v>171.44628594436202</v>
      </c>
      <c r="T78" s="38">
        <f t="shared" si="62"/>
        <v>187.11884125603453</v>
      </c>
      <c r="U78" s="38">
        <f t="shared" si="63"/>
        <v>203.37403607869584</v>
      </c>
      <c r="V78" s="38">
        <f t="shared" si="64"/>
        <v>220.229429674915</v>
      </c>
      <c r="W78" s="38">
        <f t="shared" si="65"/>
        <v>232.13524238545483</v>
      </c>
      <c r="X78" s="38">
        <f t="shared" si="66"/>
        <v>244.44397805135077</v>
      </c>
      <c r="Y78" s="38">
        <f t="shared" si="67"/>
        <v>257.16730897332229</v>
      </c>
      <c r="Z78" s="38">
        <f t="shared" si="68"/>
        <v>270.31721999969596</v>
      </c>
      <c r="AA78" s="38">
        <f t="shared" si="69"/>
        <v>275.99388161968955</v>
      </c>
    </row>
    <row r="79" spans="1:29" s="27" customFormat="1" ht="11.6">
      <c r="A79" s="27" t="s">
        <v>629</v>
      </c>
      <c r="B79" s="216" t="s">
        <v>15</v>
      </c>
      <c r="C79" s="230" t="s">
        <v>47</v>
      </c>
      <c r="D79" s="230" t="s">
        <v>47</v>
      </c>
      <c r="E79" s="230" t="s">
        <v>47</v>
      </c>
      <c r="F79" s="230" t="s">
        <v>47</v>
      </c>
      <c r="G79" s="53">
        <f>SUM(G80:G82)</f>
        <v>8.588542273781048</v>
      </c>
      <c r="H79" s="53">
        <f t="shared" ref="H79" si="70">SUM(H80:H82)</f>
        <v>16.563480916224179</v>
      </c>
      <c r="I79" s="53">
        <f t="shared" ref="I79" si="71">SUM(I80:I82)</f>
        <v>24.869579434507187</v>
      </c>
      <c r="J79" s="53">
        <f t="shared" ref="J79" si="72">SUM(J80:J82)</f>
        <v>33.517229595474028</v>
      </c>
      <c r="K79" s="53">
        <f t="shared" ref="K79" si="73">SUM(K80:K82)</f>
        <v>40.443108038247885</v>
      </c>
      <c r="L79" s="53">
        <f t="shared" ref="L79" si="74">SUM(L80:L82)</f>
        <v>47.645092277366629</v>
      </c>
      <c r="M79" s="53">
        <f t="shared" ref="M79" si="75">SUM(M80:M82)</f>
        <v>55.131724443883499</v>
      </c>
      <c r="N79" s="53">
        <f t="shared" ref="N79" si="76">SUM(N80:N82)</f>
        <v>62.91178367569978</v>
      </c>
      <c r="O79" s="53">
        <f t="shared" ref="O79" si="77">SUM(O80:O82)</f>
        <v>70.994292304772557</v>
      </c>
      <c r="P79" s="53">
        <f t="shared" ref="P79" si="78">SUM(P80:P82)</f>
        <v>79.388522199665417</v>
      </c>
      <c r="Q79" s="53">
        <f t="shared" ref="Q79" si="79">SUM(Q80:Q82)</f>
        <v>88.104001267237408</v>
      </c>
      <c r="R79" s="53">
        <f t="shared" ref="R79" si="80">SUM(R80:R82)</f>
        <v>97.15052011735726</v>
      </c>
      <c r="S79" s="53">
        <f t="shared" ref="S79" si="81">SUM(S80:S82)</f>
        <v>106.53813889462336</v>
      </c>
      <c r="T79" s="53">
        <f t="shared" ref="T79" si="82">SUM(T80:T82)</f>
        <v>116.27719428116291</v>
      </c>
      <c r="U79" s="53">
        <f t="shared" ref="U79" si="83">SUM(U80:U82)</f>
        <v>126.37830667468455</v>
      </c>
      <c r="V79" s="53">
        <f t="shared" ref="V79" si="84">SUM(V80:V82)</f>
        <v>136.85238754605615</v>
      </c>
      <c r="W79" s="53">
        <f t="shared" ref="W79" si="85">SUM(W80:W82)</f>
        <v>144.25075795240309</v>
      </c>
      <c r="X79" s="53">
        <f t="shared" ref="X79" si="86">SUM(X80:X82)</f>
        <v>151.89950801290883</v>
      </c>
      <c r="Y79" s="53">
        <f t="shared" ref="Y79" si="87">SUM(Y80:Y82)</f>
        <v>159.80589099169876</v>
      </c>
      <c r="Z79" s="53">
        <f t="shared" ref="Z79" si="88">SUM(Z80:Z82)</f>
        <v>167.97735437256421</v>
      </c>
      <c r="AA79" s="53">
        <f t="shared" ref="AA79" si="89">SUM(AA80:AA82)</f>
        <v>171.50487881438801</v>
      </c>
      <c r="AC79" s="27" t="s">
        <v>946</v>
      </c>
    </row>
    <row r="80" spans="1:29" s="27" customFormat="1" ht="11.6">
      <c r="A80" s="27" t="s">
        <v>849</v>
      </c>
      <c r="B80" s="216" t="s">
        <v>15</v>
      </c>
      <c r="C80" s="230" t="s">
        <v>47</v>
      </c>
      <c r="D80" s="230" t="s">
        <v>47</v>
      </c>
      <c r="E80" s="230" t="s">
        <v>47</v>
      </c>
      <c r="F80" s="230" t="s">
        <v>47</v>
      </c>
      <c r="G80" s="38">
        <f t="shared" ref="G80:AA80" si="90">$B$89/100*G179*24*G99/1000000</f>
        <v>2.0707134670977818</v>
      </c>
      <c r="H80" s="38">
        <f t="shared" si="90"/>
        <v>3.9934859609351316</v>
      </c>
      <c r="I80" s="38">
        <f t="shared" si="90"/>
        <v>5.9961017148746611</v>
      </c>
      <c r="J80" s="38">
        <f t="shared" si="90"/>
        <v>8.0810662031708791</v>
      </c>
      <c r="K80" s="38">
        <f t="shared" si="90"/>
        <v>9.7509083376988208</v>
      </c>
      <c r="L80" s="38">
        <f t="shared" si="90"/>
        <v>11.48732009168134</v>
      </c>
      <c r="M80" s="38">
        <f t="shared" si="90"/>
        <v>13.292360988754202</v>
      </c>
      <c r="N80" s="38">
        <f t="shared" si="90"/>
        <v>15.168147695343695</v>
      </c>
      <c r="O80" s="38">
        <f t="shared" si="90"/>
        <v>17.116855512413895</v>
      </c>
      <c r="P80" s="38">
        <f t="shared" si="90"/>
        <v>19.140719904667407</v>
      </c>
      <c r="Q80" s="38">
        <f t="shared" si="90"/>
        <v>21.242038068114589</v>
      </c>
      <c r="R80" s="38">
        <f t="shared" si="90"/>
        <v>23.423170536948582</v>
      </c>
      <c r="S80" s="38">
        <f t="shared" si="90"/>
        <v>25.686542830685575</v>
      </c>
      <c r="T80" s="38">
        <f t="shared" si="90"/>
        <v>28.034647142552725</v>
      </c>
      <c r="U80" s="38">
        <f t="shared" si="90"/>
        <v>30.470044070129966</v>
      </c>
      <c r="V80" s="38">
        <f t="shared" si="90"/>
        <v>32.995364389275586</v>
      </c>
      <c r="W80" s="38">
        <f t="shared" si="90"/>
        <v>34.779125212316373</v>
      </c>
      <c r="X80" s="38">
        <f t="shared" si="90"/>
        <v>36.623253034229222</v>
      </c>
      <c r="Y80" s="38">
        <f t="shared" si="90"/>
        <v>38.529496630443759</v>
      </c>
      <c r="Z80" s="38">
        <f t="shared" si="90"/>
        <v>40.499651603111218</v>
      </c>
      <c r="AA80" s="38">
        <f t="shared" si="90"/>
        <v>41.350144286776541</v>
      </c>
      <c r="AC80" s="27" t="s">
        <v>947</v>
      </c>
    </row>
    <row r="81" spans="1:29" s="27" customFormat="1" ht="11.6">
      <c r="A81" s="27" t="s">
        <v>850</v>
      </c>
      <c r="B81" s="216" t="s">
        <v>15</v>
      </c>
      <c r="C81" s="230" t="s">
        <v>47</v>
      </c>
      <c r="D81" s="230" t="s">
        <v>47</v>
      </c>
      <c r="E81" s="230" t="s">
        <v>47</v>
      </c>
      <c r="F81" s="230" t="s">
        <v>47</v>
      </c>
      <c r="G81" s="53">
        <f t="shared" ref="G81:AA81" si="91">$B$90/100*G179*24*G100/1000000</f>
        <v>3.0625552074975158</v>
      </c>
      <c r="H81" s="53">
        <f t="shared" si="91"/>
        <v>5.9063078596149303</v>
      </c>
      <c r="I81" s="53">
        <f t="shared" si="91"/>
        <v>8.8681475362747708</v>
      </c>
      <c r="J81" s="53">
        <f t="shared" si="91"/>
        <v>11.951779797588237</v>
      </c>
      <c r="K81" s="53">
        <f t="shared" si="91"/>
        <v>14.421452113944422</v>
      </c>
      <c r="L81" s="53">
        <f t="shared" si="91"/>
        <v>16.989579932696827</v>
      </c>
      <c r="M81" s="53">
        <f t="shared" si="91"/>
        <v>19.659209259454585</v>
      </c>
      <c r="N81" s="53">
        <f t="shared" si="91"/>
        <v>22.433470613185857</v>
      </c>
      <c r="O81" s="53">
        <f t="shared" si="91"/>
        <v>25.315581232490409</v>
      </c>
      <c r="P81" s="53">
        <f t="shared" si="91"/>
        <v>28.308847337265345</v>
      </c>
      <c r="Q81" s="53">
        <f t="shared" si="91"/>
        <v>31.416666447117311</v>
      </c>
      <c r="R81" s="53">
        <f t="shared" si="91"/>
        <v>34.642529757907283</v>
      </c>
      <c r="S81" s="53">
        <f t="shared" si="91"/>
        <v>37.990024577847286</v>
      </c>
      <c r="T81" s="53">
        <f t="shared" si="91"/>
        <v>41.462836824601546</v>
      </c>
      <c r="U81" s="53">
        <f t="shared" si="91"/>
        <v>45.064753584880627</v>
      </c>
      <c r="V81" s="53">
        <f t="shared" si="91"/>
        <v>48.799665738051807</v>
      </c>
      <c r="W81" s="53">
        <f t="shared" si="91"/>
        <v>51.437822143722997</v>
      </c>
      <c r="X81" s="53">
        <f t="shared" si="91"/>
        <v>54.165260465841904</v>
      </c>
      <c r="Y81" s="53">
        <f t="shared" si="91"/>
        <v>56.984567117924435</v>
      </c>
      <c r="Z81" s="53">
        <f t="shared" si="91"/>
        <v>59.898397769528984</v>
      </c>
      <c r="AA81" s="53">
        <f t="shared" si="91"/>
        <v>61.156264122689088</v>
      </c>
      <c r="AC81" s="27" t="s">
        <v>630</v>
      </c>
    </row>
    <row r="82" spans="1:29" s="27" customFormat="1" ht="11.6">
      <c r="A82" s="27" t="s">
        <v>851</v>
      </c>
      <c r="B82" s="216" t="s">
        <v>15</v>
      </c>
      <c r="C82" s="230" t="s">
        <v>47</v>
      </c>
      <c r="D82" s="230" t="s">
        <v>47</v>
      </c>
      <c r="E82" s="230" t="s">
        <v>47</v>
      </c>
      <c r="F82" s="230" t="s">
        <v>47</v>
      </c>
      <c r="G82" s="53">
        <f t="shared" ref="G82:AA82" si="92">$B$94/100*G179*24*G101/1000000</f>
        <v>3.4552735991857504</v>
      </c>
      <c r="H82" s="53">
        <f t="shared" si="92"/>
        <v>6.6636870956741179</v>
      </c>
      <c r="I82" s="53">
        <f t="shared" si="92"/>
        <v>10.005330183357755</v>
      </c>
      <c r="J82" s="53">
        <f t="shared" si="92"/>
        <v>13.484383594714915</v>
      </c>
      <c r="K82" s="53">
        <f t="shared" si="92"/>
        <v>16.270747586604639</v>
      </c>
      <c r="L82" s="53">
        <f t="shared" si="92"/>
        <v>19.168192252988458</v>
      </c>
      <c r="M82" s="53">
        <f t="shared" si="92"/>
        <v>22.18015419567471</v>
      </c>
      <c r="N82" s="53">
        <f t="shared" si="92"/>
        <v>25.310165367170224</v>
      </c>
      <c r="O82" s="53">
        <f t="shared" si="92"/>
        <v>28.561855559868242</v>
      </c>
      <c r="P82" s="53">
        <f t="shared" si="92"/>
        <v>31.938954957732662</v>
      </c>
      <c r="Q82" s="53">
        <f t="shared" si="92"/>
        <v>35.445296752005497</v>
      </c>
      <c r="R82" s="53">
        <f t="shared" si="92"/>
        <v>39.084819822501395</v>
      </c>
      <c r="S82" s="53">
        <f t="shared" si="92"/>
        <v>42.861571486090504</v>
      </c>
      <c r="T82" s="53">
        <f t="shared" si="92"/>
        <v>46.779710314008632</v>
      </c>
      <c r="U82" s="53">
        <f t="shared" si="92"/>
        <v>50.843509019673959</v>
      </c>
      <c r="V82" s="53">
        <f t="shared" si="92"/>
        <v>55.057357418728749</v>
      </c>
      <c r="W82" s="53">
        <f t="shared" si="92"/>
        <v>58.033810596363708</v>
      </c>
      <c r="X82" s="53">
        <f t="shared" si="92"/>
        <v>61.110994512837692</v>
      </c>
      <c r="Y82" s="53">
        <f t="shared" si="92"/>
        <v>64.291827243330573</v>
      </c>
      <c r="Z82" s="53">
        <f t="shared" si="92"/>
        <v>67.579304999923991</v>
      </c>
      <c r="AA82" s="53">
        <f t="shared" si="92"/>
        <v>68.998470404922386</v>
      </c>
      <c r="AC82" s="27" t="s">
        <v>631</v>
      </c>
    </row>
    <row r="83" spans="1:29" s="27" customFormat="1" ht="11.6">
      <c r="B83" s="216"/>
      <c r="C83" s="224"/>
      <c r="D83" s="224"/>
      <c r="E83" s="224"/>
      <c r="F83" s="224"/>
      <c r="G83" s="73"/>
      <c r="H83" s="53"/>
      <c r="I83" s="53"/>
      <c r="J83" s="53"/>
      <c r="K83" s="53"/>
      <c r="L83" s="53"/>
      <c r="M83" s="53"/>
      <c r="N83" s="53"/>
      <c r="O83" s="53"/>
      <c r="P83" s="53"/>
      <c r="Q83" s="53"/>
      <c r="R83" s="53"/>
      <c r="S83" s="53"/>
      <c r="T83" s="53"/>
      <c r="U83" s="53"/>
      <c r="V83" s="53"/>
      <c r="W83" s="53"/>
      <c r="X83" s="53"/>
      <c r="Y83" s="53"/>
      <c r="Z83" s="53"/>
      <c r="AA83" s="73"/>
    </row>
    <row r="84" spans="1:29" s="27" customFormat="1" ht="23.15">
      <c r="A84" s="227" t="s">
        <v>943</v>
      </c>
      <c r="B84" s="264" t="s">
        <v>942</v>
      </c>
      <c r="C84" s="53">
        <f>'Main calculations'!C226/(C181/1000)</f>
        <v>4.1724433748798502</v>
      </c>
      <c r="AC84" s="27" t="s">
        <v>633</v>
      </c>
    </row>
    <row r="85" spans="1:29" s="27" customFormat="1" ht="11.6">
      <c r="A85" s="42" t="s">
        <v>605</v>
      </c>
      <c r="B85" s="216" t="s">
        <v>7</v>
      </c>
      <c r="C85" s="53">
        <f>ROUND('ABS Leave entitlement'!E27,0)</f>
        <v>25</v>
      </c>
      <c r="AC85" s="27" t="s">
        <v>632</v>
      </c>
    </row>
    <row r="86" spans="1:29" s="27" customFormat="1" ht="11.6">
      <c r="B86" s="216"/>
      <c r="E86" s="224"/>
      <c r="F86" s="224"/>
    </row>
    <row r="87" spans="1:29" s="27" customFormat="1" ht="11.6">
      <c r="A87" s="19" t="s">
        <v>636</v>
      </c>
      <c r="B87" s="27" t="s">
        <v>639</v>
      </c>
      <c r="C87" s="27" t="s">
        <v>635</v>
      </c>
      <c r="D87" s="224" t="s">
        <v>640</v>
      </c>
      <c r="F87" s="224"/>
      <c r="AC87" s="27" t="s">
        <v>510</v>
      </c>
    </row>
    <row r="88" spans="1:29" s="27" customFormat="1" ht="11.6">
      <c r="A88" s="26" t="s">
        <v>91</v>
      </c>
      <c r="B88" s="228" t="s">
        <v>558</v>
      </c>
      <c r="C88" s="229" t="s">
        <v>641</v>
      </c>
      <c r="D88" s="229" t="s">
        <v>638</v>
      </c>
    </row>
    <row r="89" spans="1:29" s="27" customFormat="1" ht="11.6">
      <c r="A89" s="27" t="s">
        <v>349</v>
      </c>
      <c r="B89" s="231">
        <f>SUM(C89:C89)/(24*60)*100</f>
        <v>14.374999999999998</v>
      </c>
      <c r="C89" s="230">
        <f>3*60+27</f>
        <v>207</v>
      </c>
      <c r="D89" s="230" t="str">
        <f>'ABS Time use'!J17</f>
        <v>3:27</v>
      </c>
    </row>
    <row r="90" spans="1:29" s="27" customFormat="1" ht="11.6">
      <c r="A90" s="27" t="s">
        <v>634</v>
      </c>
      <c r="B90" s="231">
        <f>SUM(C91:C93)/(24*60)*100</f>
        <v>13.541666666666666</v>
      </c>
      <c r="C90" s="230">
        <f>SUM(C91:C93)</f>
        <v>195</v>
      </c>
      <c r="D90" s="230"/>
    </row>
    <row r="91" spans="1:29" s="27" customFormat="1" ht="11.6">
      <c r="A91" s="27" t="s">
        <v>852</v>
      </c>
      <c r="B91" s="231"/>
      <c r="C91" s="230">
        <v>41</v>
      </c>
      <c r="D91" s="230" t="str">
        <f>'ABS Time use'!J43</f>
        <v>0:41</v>
      </c>
    </row>
    <row r="92" spans="1:29" s="27" customFormat="1" ht="11.6">
      <c r="A92" s="27" t="s">
        <v>853</v>
      </c>
      <c r="B92" s="231"/>
      <c r="C92" s="230">
        <f>2*60+15</f>
        <v>135</v>
      </c>
      <c r="D92" s="230" t="str">
        <f>'ABS Time use'!J32</f>
        <v>2:15</v>
      </c>
    </row>
    <row r="93" spans="1:29" s="27" customFormat="1" ht="11.6">
      <c r="A93" s="27" t="s">
        <v>854</v>
      </c>
      <c r="B93" s="231"/>
      <c r="C93" s="230">
        <v>19</v>
      </c>
      <c r="D93" s="230" t="str">
        <f>'ABS Time use'!J56</f>
        <v>0:19</v>
      </c>
    </row>
    <row r="94" spans="1:29" s="27" customFormat="1" ht="11.6">
      <c r="A94" s="27" t="s">
        <v>637</v>
      </c>
      <c r="B94" s="231">
        <f>SUM(C95:C96)/(24*60)*100</f>
        <v>20.555555555555554</v>
      </c>
      <c r="C94" s="230">
        <f>SUM(C95:C96)</f>
        <v>296</v>
      </c>
      <c r="D94" s="230"/>
    </row>
    <row r="95" spans="1:29" s="27" customFormat="1" ht="11.6">
      <c r="A95" s="27" t="s">
        <v>855</v>
      </c>
      <c r="B95" s="230"/>
      <c r="C95" s="230">
        <v>43</v>
      </c>
      <c r="D95" s="230" t="str">
        <f>'ABS Time use'!J61</f>
        <v>0:43</v>
      </c>
    </row>
    <row r="96" spans="1:29" s="27" customFormat="1" ht="11.6">
      <c r="A96" s="27" t="s">
        <v>856</v>
      </c>
      <c r="B96" s="230"/>
      <c r="C96" s="230">
        <f>4*60+13</f>
        <v>253</v>
      </c>
      <c r="D96" s="230" t="str">
        <f>'ABS Time use'!J70</f>
        <v>4:13</v>
      </c>
    </row>
    <row r="97" spans="1:29" s="27" customFormat="1" ht="11.6">
      <c r="B97" s="216"/>
    </row>
    <row r="98" spans="1:29" s="27" customFormat="1" ht="11.6">
      <c r="A98" s="19" t="s">
        <v>879</v>
      </c>
      <c r="B98" s="216"/>
    </row>
    <row r="99" spans="1:29" s="27" customFormat="1" ht="11.6">
      <c r="A99" s="220" t="s">
        <v>1099</v>
      </c>
      <c r="B99" s="216" t="s">
        <v>875</v>
      </c>
      <c r="C99" s="72">
        <v>10</v>
      </c>
      <c r="D99" s="72">
        <f t="shared" ref="D99:AA99" si="93">C99/C103*D103</f>
        <v>10.054763866401933</v>
      </c>
      <c r="E99" s="72">
        <f t="shared" si="93"/>
        <v>10.112361068188733</v>
      </c>
      <c r="F99" s="72">
        <f t="shared" si="93"/>
        <v>10.173045442980976</v>
      </c>
      <c r="G99" s="72">
        <f t="shared" si="93"/>
        <v>10.237108259391542</v>
      </c>
      <c r="H99" s="72">
        <f t="shared" si="93"/>
        <v>10.304837086548016</v>
      </c>
      <c r="I99" s="72">
        <f t="shared" si="93"/>
        <v>10.376528458238473</v>
      </c>
      <c r="J99" s="72">
        <f t="shared" si="93"/>
        <v>10.452466353714524</v>
      </c>
      <c r="K99" s="72">
        <f t="shared" si="93"/>
        <v>10.532879173946958</v>
      </c>
      <c r="L99" s="72">
        <f t="shared" si="93"/>
        <v>10.615573440004862</v>
      </c>
      <c r="M99" s="72">
        <f t="shared" si="93"/>
        <v>10.700649606542921</v>
      </c>
      <c r="N99" s="72">
        <f t="shared" si="93"/>
        <v>10.788196930895015</v>
      </c>
      <c r="O99" s="72">
        <f t="shared" si="93"/>
        <v>10.878289413807648</v>
      </c>
      <c r="P99" s="72">
        <f t="shared" si="93"/>
        <v>10.97095078355547</v>
      </c>
      <c r="Q99" s="72">
        <f t="shared" si="93"/>
        <v>11.066195483337177</v>
      </c>
      <c r="R99" s="72">
        <f t="shared" si="93"/>
        <v>11.164021323703839</v>
      </c>
      <c r="S99" s="72">
        <f t="shared" si="93"/>
        <v>11.264386113558011</v>
      </c>
      <c r="T99" s="72">
        <f t="shared" si="93"/>
        <v>11.367233878621512</v>
      </c>
      <c r="U99" s="72">
        <f t="shared" si="93"/>
        <v>11.472488137607559</v>
      </c>
      <c r="V99" s="72">
        <f t="shared" si="93"/>
        <v>11.58004968421508</v>
      </c>
      <c r="W99" s="72">
        <f t="shared" si="93"/>
        <v>11.689821061852646</v>
      </c>
      <c r="X99" s="72">
        <f t="shared" si="93"/>
        <v>11.801701476715557</v>
      </c>
      <c r="Y99" s="72">
        <f t="shared" si="93"/>
        <v>11.915602875146234</v>
      </c>
      <c r="Z99" s="72">
        <f t="shared" si="93"/>
        <v>12.031428969465827</v>
      </c>
      <c r="AA99" s="72">
        <f t="shared" si="93"/>
        <v>12.149048209760956</v>
      </c>
    </row>
    <row r="100" spans="1:29" s="27" customFormat="1" ht="11.6">
      <c r="A100" s="27" t="s">
        <v>878</v>
      </c>
      <c r="B100" s="350" t="s">
        <v>875</v>
      </c>
      <c r="C100" s="72">
        <f t="shared" ref="C100:AA100" si="94">C107/2</f>
        <v>15.7</v>
      </c>
      <c r="D100" s="72">
        <f t="shared" si="94"/>
        <v>15.785979270251033</v>
      </c>
      <c r="E100" s="72">
        <f t="shared" si="94"/>
        <v>15.87640687705631</v>
      </c>
      <c r="F100" s="72">
        <f t="shared" si="94"/>
        <v>15.971681345480132</v>
      </c>
      <c r="G100" s="72">
        <f t="shared" si="94"/>
        <v>16.072259967244719</v>
      </c>
      <c r="H100" s="72">
        <f t="shared" si="94"/>
        <v>16.178594225880385</v>
      </c>
      <c r="I100" s="72">
        <f t="shared" si="94"/>
        <v>16.291149679434405</v>
      </c>
      <c r="J100" s="72">
        <f t="shared" si="94"/>
        <v>16.410372175331805</v>
      </c>
      <c r="K100" s="72">
        <f t="shared" si="94"/>
        <v>16.536620303096729</v>
      </c>
      <c r="L100" s="72">
        <f t="shared" si="94"/>
        <v>16.666450300807636</v>
      </c>
      <c r="M100" s="72">
        <f t="shared" si="94"/>
        <v>16.800019882272387</v>
      </c>
      <c r="N100" s="72">
        <f t="shared" si="94"/>
        <v>16.937469181505175</v>
      </c>
      <c r="O100" s="72">
        <f t="shared" si="94"/>
        <v>17.078914379678011</v>
      </c>
      <c r="P100" s="72">
        <f t="shared" si="94"/>
        <v>17.224392730182089</v>
      </c>
      <c r="Q100" s="72">
        <f t="shared" si="94"/>
        <v>17.373926908839369</v>
      </c>
      <c r="R100" s="72">
        <f t="shared" si="94"/>
        <v>17.527513478215027</v>
      </c>
      <c r="S100" s="72">
        <f t="shared" si="94"/>
        <v>17.685086198286079</v>
      </c>
      <c r="T100" s="72">
        <f t="shared" si="94"/>
        <v>17.846557189435778</v>
      </c>
      <c r="U100" s="72">
        <f t="shared" si="94"/>
        <v>18.011806376043872</v>
      </c>
      <c r="V100" s="72">
        <f t="shared" si="94"/>
        <v>18.180678004217683</v>
      </c>
      <c r="W100" s="72">
        <f t="shared" si="94"/>
        <v>18.353019067108658</v>
      </c>
      <c r="X100" s="72">
        <f t="shared" si="94"/>
        <v>18.528671318443426</v>
      </c>
      <c r="Y100" s="72">
        <f t="shared" si="94"/>
        <v>18.707496513979592</v>
      </c>
      <c r="Z100" s="72">
        <f t="shared" si="94"/>
        <v>18.889343482061349</v>
      </c>
      <c r="AA100" s="72">
        <f t="shared" si="94"/>
        <v>19.074005689324704</v>
      </c>
    </row>
    <row r="101" spans="1:29" s="27" customFormat="1" ht="11.6">
      <c r="A101" s="27" t="s">
        <v>877</v>
      </c>
      <c r="B101" s="350" t="s">
        <v>875</v>
      </c>
      <c r="C101" s="72">
        <f t="shared" ref="C101:AA101" si="95">C103/3</f>
        <v>11.669199594731509</v>
      </c>
      <c r="D101" s="72">
        <f t="shared" si="95"/>
        <v>11.733104643493846</v>
      </c>
      <c r="E101" s="72">
        <f t="shared" si="95"/>
        <v>11.800315967868665</v>
      </c>
      <c r="F101" s="72">
        <f t="shared" si="95"/>
        <v>11.871129776041883</v>
      </c>
      <c r="G101" s="72">
        <f t="shared" si="95"/>
        <v>11.945885955171436</v>
      </c>
      <c r="H101" s="72">
        <f t="shared" si="95"/>
        <v>12.024920075412034</v>
      </c>
      <c r="I101" s="72">
        <f t="shared" si="95"/>
        <v>12.108578167959637</v>
      </c>
      <c r="J101" s="72">
        <f t="shared" si="95"/>
        <v>12.197191613871025</v>
      </c>
      <c r="K101" s="72">
        <f t="shared" si="95"/>
        <v>12.29102693879778</v>
      </c>
      <c r="L101" s="72">
        <f t="shared" si="95"/>
        <v>12.38752452839473</v>
      </c>
      <c r="M101" s="72">
        <f t="shared" si="95"/>
        <v>12.486801605203453</v>
      </c>
      <c r="N101" s="72">
        <f t="shared" si="95"/>
        <v>12.588962325388382</v>
      </c>
      <c r="O101" s="72">
        <f t="shared" si="95"/>
        <v>12.694093041897629</v>
      </c>
      <c r="P101" s="72">
        <f t="shared" si="95"/>
        <v>12.802221443728483</v>
      </c>
      <c r="Q101" s="72">
        <f t="shared" si="95"/>
        <v>12.913364384937784</v>
      </c>
      <c r="R101" s="72">
        <f t="shared" si="95"/>
        <v>13.027519310613876</v>
      </c>
      <c r="S101" s="72">
        <f t="shared" si="95"/>
        <v>13.144636987123038</v>
      </c>
      <c r="T101" s="72">
        <f t="shared" si="95"/>
        <v>13.264652096962843</v>
      </c>
      <c r="U101" s="72">
        <f t="shared" si="95"/>
        <v>13.387475392593217</v>
      </c>
      <c r="V101" s="72">
        <f t="shared" si="95"/>
        <v>13.512991108201335</v>
      </c>
      <c r="W101" s="72">
        <f t="shared" si="95"/>
        <v>13.641085519745475</v>
      </c>
      <c r="X101" s="72">
        <f t="shared" si="95"/>
        <v>13.771641008923142</v>
      </c>
      <c r="Y101" s="72">
        <f t="shared" si="95"/>
        <v>13.904554824163805</v>
      </c>
      <c r="Z101" s="72">
        <f t="shared" si="95"/>
        <v>14.039714605453156</v>
      </c>
      <c r="AA101" s="72">
        <f t="shared" si="95"/>
        <v>14.176966844571611</v>
      </c>
    </row>
    <row r="102" spans="1:29" s="27" customFormat="1" ht="11.6">
      <c r="A102" s="19"/>
      <c r="B102" s="216"/>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row>
    <row r="103" spans="1:29" s="27" customFormat="1" ht="11.6">
      <c r="A103" s="27" t="s">
        <v>544</v>
      </c>
      <c r="B103" s="216" t="s">
        <v>2</v>
      </c>
      <c r="C103" s="72">
        <f>C104/C105</f>
        <v>35.007598784194528</v>
      </c>
      <c r="D103" s="72">
        <f>C103/'Main calculations'!C230*'Main calculations'!D230</f>
        <v>35.199313930481537</v>
      </c>
      <c r="E103" s="72">
        <f>D103/'Main calculations'!D230*'Main calculations'!E230</f>
        <v>35.400947903605996</v>
      </c>
      <c r="F103" s="72">
        <f>E103/'Main calculations'!E230*'Main calculations'!F230</f>
        <v>35.613389328125649</v>
      </c>
      <c r="G103" s="72">
        <f>F103/'Main calculations'!F230*'Main calculations'!G230</f>
        <v>35.837657865514309</v>
      </c>
      <c r="H103" s="72">
        <f>G103/'Main calculations'!G230*'Main calculations'!H230</f>
        <v>36.074760226236101</v>
      </c>
      <c r="I103" s="72">
        <f>H103/'Main calculations'!H230*'Main calculations'!I230</f>
        <v>36.325734503878913</v>
      </c>
      <c r="J103" s="72">
        <f>I103/'Main calculations'!I230*'Main calculations'!J230</f>
        <v>36.591574841613074</v>
      </c>
      <c r="K103" s="72">
        <f>J103/'Main calculations'!J230*'Main calculations'!K230</f>
        <v>36.87308081639334</v>
      </c>
      <c r="L103" s="72">
        <f>K103/'Main calculations'!K230*'Main calculations'!L230</f>
        <v>37.162573585184191</v>
      </c>
      <c r="M103" s="72">
        <f>L103/'Main calculations'!L230*'Main calculations'!M230</f>
        <v>37.46040481561036</v>
      </c>
      <c r="N103" s="72">
        <f>M103/'Main calculations'!M230*'Main calculations'!N230</f>
        <v>37.766886976165146</v>
      </c>
      <c r="O103" s="72">
        <f>N103/'Main calculations'!N230*'Main calculations'!O230</f>
        <v>38.082279125692885</v>
      </c>
      <c r="P103" s="72">
        <f>O103/'Main calculations'!O230*'Main calculations'!P230</f>
        <v>38.406664331185446</v>
      </c>
      <c r="Q103" s="72">
        <f>P103/'Main calculations'!P230*'Main calculations'!Q230</f>
        <v>38.740093154813351</v>
      </c>
      <c r="R103" s="72">
        <f>Q103/'Main calculations'!Q230*'Main calculations'!R230</f>
        <v>39.082557931841627</v>
      </c>
      <c r="S103" s="72">
        <f>R103/'Main calculations'!R230*'Main calculations'!S230</f>
        <v>39.433910961369115</v>
      </c>
      <c r="T103" s="72">
        <f>S103/'Main calculations'!S230*'Main calculations'!T230</f>
        <v>39.793956290888531</v>
      </c>
      <c r="U103" s="72">
        <f>T103/'Main calculations'!T230*'Main calculations'!U230</f>
        <v>40.162426177779651</v>
      </c>
      <c r="V103" s="72">
        <f>U103/'Main calculations'!U230*'Main calculations'!V230</f>
        <v>40.538973324604008</v>
      </c>
      <c r="W103" s="72">
        <f>V103/'Main calculations'!V230*'Main calculations'!W230</f>
        <v>40.923256559236428</v>
      </c>
      <c r="X103" s="72">
        <f>W103/'Main calculations'!W230*'Main calculations'!X230</f>
        <v>41.314923026769428</v>
      </c>
      <c r="Y103" s="72">
        <f>X103/'Main calculations'!X230*'Main calculations'!Y230</f>
        <v>41.713664472491416</v>
      </c>
      <c r="Z103" s="72">
        <f>Y103/'Main calculations'!Y230*'Main calculations'!Z230</f>
        <v>42.119143816359468</v>
      </c>
      <c r="AA103" s="72">
        <f>Z103/'Main calculations'!Z230*'Main calculations'!AA230</f>
        <v>42.530900533714835</v>
      </c>
    </row>
    <row r="104" spans="1:29" s="27" customFormat="1" ht="11.6">
      <c r="A104" s="42" t="s">
        <v>857</v>
      </c>
      <c r="B104" s="216" t="s">
        <v>2</v>
      </c>
      <c r="C104" s="72">
        <f>'ABS earnings'!D20</f>
        <v>1151.75</v>
      </c>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C104" s="27" t="s">
        <v>294</v>
      </c>
    </row>
    <row r="105" spans="1:29" s="27" customFormat="1" ht="11.6">
      <c r="A105" s="42" t="s">
        <v>858</v>
      </c>
      <c r="B105" s="216" t="s">
        <v>543</v>
      </c>
      <c r="C105" s="72">
        <f>'ABS Average weekly hours'!B9</f>
        <v>32.9</v>
      </c>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C105" s="27" t="s">
        <v>547</v>
      </c>
    </row>
    <row r="106" spans="1:29" s="27" customFormat="1" ht="11.6">
      <c r="B106" s="216"/>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row>
    <row r="107" spans="1:29" s="27" customFormat="1" ht="23.6" thickBot="1">
      <c r="A107" s="321" t="s">
        <v>881</v>
      </c>
      <c r="B107" s="234" t="s">
        <v>2</v>
      </c>
      <c r="C107" s="245">
        <f>'ABS occ wage'!B42</f>
        <v>31.4</v>
      </c>
      <c r="D107" s="245">
        <f>C107/'Main calculations'!C230*'Main calculations'!D230</f>
        <v>31.571958540502067</v>
      </c>
      <c r="E107" s="245">
        <f>D107/'Main calculations'!D230*'Main calculations'!E230</f>
        <v>31.752813754112619</v>
      </c>
      <c r="F107" s="245">
        <f>E107/'Main calculations'!E230*'Main calculations'!F230</f>
        <v>31.943362690960264</v>
      </c>
      <c r="G107" s="245">
        <f>F107/'Main calculations'!F230*'Main calculations'!G230</f>
        <v>32.144519934489438</v>
      </c>
      <c r="H107" s="245">
        <f>G107/'Main calculations'!G230*'Main calculations'!H230</f>
        <v>32.35718845176077</v>
      </c>
      <c r="I107" s="245">
        <f>H107/'Main calculations'!H230*'Main calculations'!I230</f>
        <v>32.582299358868809</v>
      </c>
      <c r="J107" s="245">
        <f>I107/'Main calculations'!I230*'Main calculations'!J230</f>
        <v>32.82074435066361</v>
      </c>
      <c r="K107" s="245">
        <f>J107/'Main calculations'!J230*'Main calculations'!K230</f>
        <v>33.073240606193458</v>
      </c>
      <c r="L107" s="245">
        <f>K107/'Main calculations'!K230*'Main calculations'!L230</f>
        <v>33.332900601615272</v>
      </c>
      <c r="M107" s="245">
        <f>L107/'Main calculations'!L230*'Main calculations'!M230</f>
        <v>33.600039764544775</v>
      </c>
      <c r="N107" s="245">
        <f>M107/'Main calculations'!M230*'Main calculations'!N230</f>
        <v>33.874938363010351</v>
      </c>
      <c r="O107" s="245">
        <f>N107/'Main calculations'!N230*'Main calculations'!O230</f>
        <v>34.157828759356022</v>
      </c>
      <c r="P107" s="245">
        <f>O107/'Main calculations'!O230*'Main calculations'!P230</f>
        <v>34.448785460364178</v>
      </c>
      <c r="Q107" s="245">
        <f>P107/'Main calculations'!P230*'Main calculations'!Q230</f>
        <v>34.747853817678738</v>
      </c>
      <c r="R107" s="245">
        <f>Q107/'Main calculations'!Q230*'Main calculations'!R230</f>
        <v>35.055026956430055</v>
      </c>
      <c r="S107" s="245">
        <f>R107/'Main calculations'!R230*'Main calculations'!S230</f>
        <v>35.370172396572158</v>
      </c>
      <c r="T107" s="245">
        <f>S107/'Main calculations'!S230*'Main calculations'!T230</f>
        <v>35.693114378871556</v>
      </c>
      <c r="U107" s="245">
        <f>T107/'Main calculations'!T230*'Main calculations'!U230</f>
        <v>36.023612752087743</v>
      </c>
      <c r="V107" s="245">
        <f>U107/'Main calculations'!U230*'Main calculations'!V230</f>
        <v>36.361356008435365</v>
      </c>
      <c r="W107" s="245">
        <f>V107/'Main calculations'!V230*'Main calculations'!W230</f>
        <v>36.706038134217316</v>
      </c>
      <c r="X107" s="245">
        <f>W107/'Main calculations'!W230*'Main calculations'!X230</f>
        <v>37.057342636886851</v>
      </c>
      <c r="Y107" s="245">
        <f>X107/'Main calculations'!X230*'Main calculations'!Y230</f>
        <v>37.414993027959184</v>
      </c>
      <c r="Z107" s="245">
        <f>Y107/'Main calculations'!Y230*'Main calculations'!Z230</f>
        <v>37.778686964122699</v>
      </c>
      <c r="AA107" s="245">
        <f>Z107/'Main calculations'!Z230*'Main calculations'!AA230</f>
        <v>38.148011378649407</v>
      </c>
      <c r="AB107" s="225"/>
      <c r="AC107" s="225" t="s">
        <v>880</v>
      </c>
    </row>
    <row r="108" spans="1:29" s="27" customFormat="1" ht="11.6"/>
    <row r="109" spans="1:29" s="27" customFormat="1" ht="11.6">
      <c r="A109" s="26"/>
      <c r="B109" s="19"/>
      <c r="C109" s="19"/>
      <c r="D109" s="19"/>
      <c r="E109" s="19"/>
      <c r="F109" s="19"/>
      <c r="G109" s="53"/>
      <c r="H109" s="53"/>
      <c r="I109" s="53"/>
      <c r="J109" s="53"/>
      <c r="K109" s="53"/>
    </row>
    <row r="110" spans="1:29" s="27" customFormat="1" ht="11.6">
      <c r="A110" s="27" t="s">
        <v>650</v>
      </c>
      <c r="B110" s="27">
        <v>5</v>
      </c>
      <c r="C110" s="27" t="s">
        <v>793</v>
      </c>
    </row>
    <row r="111" spans="1:29" s="27" customFormat="1" ht="12" thickBot="1">
      <c r="C111" s="27" t="s">
        <v>578</v>
      </c>
    </row>
    <row r="112" spans="1:29" s="27" customFormat="1" ht="12" thickBot="1">
      <c r="A112" s="14"/>
      <c r="B112" s="14" t="s">
        <v>91</v>
      </c>
      <c r="C112" s="15">
        <v>2016</v>
      </c>
      <c r="D112" s="15">
        <v>2017</v>
      </c>
      <c r="E112" s="15">
        <v>2018</v>
      </c>
      <c r="F112" s="15">
        <v>2019</v>
      </c>
      <c r="G112" s="15">
        <v>2020</v>
      </c>
      <c r="H112" s="15">
        <v>2021</v>
      </c>
      <c r="I112" s="15">
        <v>2022</v>
      </c>
      <c r="J112" s="15">
        <v>2023</v>
      </c>
      <c r="K112" s="15">
        <v>2024</v>
      </c>
      <c r="L112" s="15">
        <v>2025</v>
      </c>
      <c r="M112" s="15">
        <v>2026</v>
      </c>
      <c r="N112" s="15">
        <v>2027</v>
      </c>
      <c r="O112" s="15">
        <v>2028</v>
      </c>
      <c r="P112" s="15">
        <v>2029</v>
      </c>
      <c r="Q112" s="15">
        <v>2030</v>
      </c>
      <c r="R112" s="15">
        <v>2031</v>
      </c>
      <c r="S112" s="15">
        <v>2032</v>
      </c>
      <c r="T112" s="15">
        <v>2033</v>
      </c>
      <c r="U112" s="15">
        <v>2034</v>
      </c>
      <c r="V112" s="15">
        <v>2035</v>
      </c>
      <c r="W112" s="15">
        <v>2036</v>
      </c>
      <c r="X112" s="15">
        <v>2037</v>
      </c>
      <c r="Y112" s="15">
        <v>2038</v>
      </c>
      <c r="Z112" s="15">
        <v>2039</v>
      </c>
      <c r="AA112" s="15">
        <v>2040</v>
      </c>
      <c r="AB112" s="292"/>
      <c r="AC112" s="292" t="s">
        <v>828</v>
      </c>
    </row>
    <row r="113" spans="1:29" s="27" customFormat="1" ht="11.6">
      <c r="A113" s="19" t="s">
        <v>882</v>
      </c>
      <c r="B113" s="216"/>
    </row>
    <row r="114" spans="1:29" s="33" customFormat="1" ht="11.6">
      <c r="A114" s="33" t="s">
        <v>549</v>
      </c>
      <c r="B114" s="240" t="s">
        <v>15</v>
      </c>
      <c r="C114" s="31" t="s">
        <v>47</v>
      </c>
      <c r="D114" s="31" t="s">
        <v>47</v>
      </c>
      <c r="E114" s="31" t="s">
        <v>47</v>
      </c>
      <c r="F114" s="31" t="s">
        <v>47</v>
      </c>
      <c r="G114" s="397">
        <f t="shared" ref="G114:AA114" si="96">G115*G$59/100</f>
        <v>21.645484593867565</v>
      </c>
      <c r="H114" s="397">
        <f t="shared" si="96"/>
        <v>41.744519566195464</v>
      </c>
      <c r="I114" s="397">
        <f t="shared" si="96"/>
        <v>62.678168348655248</v>
      </c>
      <c r="J114" s="397">
        <f t="shared" si="96"/>
        <v>84.472621046849639</v>
      </c>
      <c r="K114" s="397">
        <f t="shared" si="96"/>
        <v>101.92773628680317</v>
      </c>
      <c r="L114" s="397">
        <f t="shared" si="96"/>
        <v>120.07871394095311</v>
      </c>
      <c r="M114" s="397">
        <f t="shared" si="96"/>
        <v>138.94708252487487</v>
      </c>
      <c r="N114" s="397">
        <f t="shared" si="96"/>
        <v>158.5549678764734</v>
      </c>
      <c r="O114" s="397">
        <f t="shared" si="96"/>
        <v>178.92510874944554</v>
      </c>
      <c r="P114" s="397">
        <f t="shared" si="96"/>
        <v>200.080872798249</v>
      </c>
      <c r="Q114" s="397">
        <f t="shared" si="96"/>
        <v>222.04627296414378</v>
      </c>
      <c r="R114" s="397">
        <f t="shared" si="96"/>
        <v>244.84598427210196</v>
      </c>
      <c r="S114" s="397">
        <f t="shared" si="96"/>
        <v>268.50536104861732</v>
      </c>
      <c r="T114" s="397">
        <f t="shared" si="96"/>
        <v>293.05045457068229</v>
      </c>
      <c r="U114" s="397">
        <f t="shared" si="96"/>
        <v>318.50803115645141</v>
      </c>
      <c r="V114" s="397">
        <f t="shared" si="96"/>
        <v>344.90559070835735</v>
      </c>
      <c r="W114" s="397">
        <f t="shared" si="96"/>
        <v>363.551515423566</v>
      </c>
      <c r="X114" s="397">
        <f t="shared" si="96"/>
        <v>382.82846561131106</v>
      </c>
      <c r="Y114" s="397">
        <f t="shared" si="96"/>
        <v>402.75472148863969</v>
      </c>
      <c r="Z114" s="397">
        <f t="shared" si="96"/>
        <v>423.34905275948148</v>
      </c>
      <c r="AA114" s="397">
        <f t="shared" si="96"/>
        <v>432.23938286743055</v>
      </c>
      <c r="AC114" s="33" t="s">
        <v>550</v>
      </c>
    </row>
    <row r="115" spans="1:29" s="33" customFormat="1" ht="11.6">
      <c r="A115" s="33" t="s">
        <v>548</v>
      </c>
      <c r="B115" s="240" t="s">
        <v>15</v>
      </c>
      <c r="C115" s="397">
        <f>'Inputs into time calculations'!$H$47/1000000</f>
        <v>885.28239273292684</v>
      </c>
      <c r="D115" s="397">
        <f>C115*'Main calculations'!D229/'Main calculations'!C229</f>
        <v>903.87332298031833</v>
      </c>
      <c r="E115" s="397">
        <f>D115*'Main calculations'!E229/'Main calculations'!D229</f>
        <v>922.8546627629047</v>
      </c>
      <c r="F115" s="397">
        <f>E115*'Main calculations'!F229/'Main calculations'!E229</f>
        <v>942.2346106809257</v>
      </c>
      <c r="G115" s="397">
        <f>F115*'Main calculations'!G229/'Main calculations'!F229</f>
        <v>962.02153750522496</v>
      </c>
      <c r="H115" s="397">
        <f>G115*'Main calculations'!H229/'Main calculations'!G229</f>
        <v>982.22398979283457</v>
      </c>
      <c r="I115" s="397">
        <f>H115*'Main calculations'!I229/'Main calculations'!H229</f>
        <v>1002.850693578484</v>
      </c>
      <c r="J115" s="397">
        <f>I115*'Main calculations'!J229/'Main calculations'!I229</f>
        <v>1023.910558143632</v>
      </c>
      <c r="K115" s="397">
        <f>J115*'Main calculations'!K229/'Main calculations'!J229</f>
        <v>1045.412679864648</v>
      </c>
      <c r="L115" s="397">
        <f>K115*'Main calculations'!L229/'Main calculations'!K229</f>
        <v>1067.3663461418055</v>
      </c>
      <c r="M115" s="397">
        <f>L115*'Main calculations'!M229/'Main calculations'!L229</f>
        <v>1089.7810394107833</v>
      </c>
      <c r="N115" s="397">
        <f>M115*'Main calculations'!N229/'Main calculations'!M229</f>
        <v>1112.6664412384098</v>
      </c>
      <c r="O115" s="397">
        <f>N115*'Main calculations'!O229/'Main calculations'!N229</f>
        <v>1136.0324365044162</v>
      </c>
      <c r="P115" s="397">
        <f>O115*'Main calculations'!P229/'Main calculations'!O229</f>
        <v>1159.8891176710088</v>
      </c>
      <c r="Q115" s="397">
        <f>P115*'Main calculations'!Q229/'Main calculations'!P229</f>
        <v>1184.2467891420999</v>
      </c>
      <c r="R115" s="397">
        <f>Q115*'Main calculations'!R229/'Main calculations'!Q229</f>
        <v>1209.1159717140838</v>
      </c>
      <c r="S115" s="397">
        <f>R115*'Main calculations'!S229/'Main calculations'!R229</f>
        <v>1234.5074071200795</v>
      </c>
      <c r="T115" s="397">
        <f>S115*'Main calculations'!T229/'Main calculations'!S229</f>
        <v>1260.4320626696012</v>
      </c>
      <c r="U115" s="397">
        <f>T115*'Main calculations'!U229/'Main calculations'!T229</f>
        <v>1286.9011359856622</v>
      </c>
      <c r="V115" s="397">
        <f>U115*'Main calculations'!V229/'Main calculations'!U229</f>
        <v>1313.9260598413612</v>
      </c>
      <c r="W115" s="397">
        <f>V115*'Main calculations'!W229/'Main calculations'!V229</f>
        <v>1341.5185070980294</v>
      </c>
      <c r="X115" s="397">
        <f>W115*'Main calculations'!X229/'Main calculations'!W229</f>
        <v>1369.6903957470879</v>
      </c>
      <c r="Y115" s="397">
        <f>X115*'Main calculations'!Y229/'Main calculations'!X229</f>
        <v>1398.4538940577768</v>
      </c>
      <c r="Z115" s="397">
        <f>Y115*'Main calculations'!Z229/'Main calculations'!Y229</f>
        <v>1427.8214258329899</v>
      </c>
      <c r="AA115" s="397">
        <f>Z115*'Main calculations'!AA229/'Main calculations'!Z229</f>
        <v>1457.8056757754825</v>
      </c>
      <c r="AC115" s="33" t="s">
        <v>966</v>
      </c>
    </row>
    <row r="116" spans="1:29" s="33" customFormat="1" ht="11.6">
      <c r="B116" s="240"/>
    </row>
    <row r="117" spans="1:29" s="33" customFormat="1" ht="11.6">
      <c r="A117" s="398" t="s">
        <v>551</v>
      </c>
      <c r="B117" s="240"/>
    </row>
    <row r="118" spans="1:29" s="33" customFormat="1" ht="11.6">
      <c r="A118" s="33" t="s">
        <v>552</v>
      </c>
      <c r="B118" s="240" t="s">
        <v>15</v>
      </c>
      <c r="C118" s="31" t="s">
        <v>47</v>
      </c>
      <c r="D118" s="31" t="s">
        <v>47</v>
      </c>
      <c r="E118" s="31" t="s">
        <v>47</v>
      </c>
      <c r="F118" s="31" t="s">
        <v>47</v>
      </c>
      <c r="G118" s="397">
        <f t="shared" ref="G118:AA118" si="97">G119*G$59/100</f>
        <v>7.6051773189627863</v>
      </c>
      <c r="H118" s="397">
        <f t="shared" si="97"/>
        <v>14.667006969470785</v>
      </c>
      <c r="I118" s="397">
        <f t="shared" si="97"/>
        <v>22.02207958210245</v>
      </c>
      <c r="J118" s="397">
        <f t="shared" si="97"/>
        <v>29.679597094391116</v>
      </c>
      <c r="K118" s="397">
        <f t="shared" si="97"/>
        <v>35.812481112168477</v>
      </c>
      <c r="L118" s="397">
        <f t="shared" si="97"/>
        <v>42.189857556373852</v>
      </c>
      <c r="M118" s="397">
        <f t="shared" si="97"/>
        <v>48.819290507065389</v>
      </c>
      <c r="N118" s="397">
        <f t="shared" si="97"/>
        <v>55.708553914503611</v>
      </c>
      <c r="O118" s="397">
        <f t="shared" si="97"/>
        <v>62.865637077940598</v>
      </c>
      <c r="P118" s="397">
        <f t="shared" si="97"/>
        <v>70.298750261965679</v>
      </c>
      <c r="Q118" s="397">
        <f t="shared" si="97"/>
        <v>78.016330453768447</v>
      </c>
      <c r="R118" s="397">
        <f t="shared" si="97"/>
        <v>86.027047264761364</v>
      </c>
      <c r="S118" s="397">
        <f t="shared" si="97"/>
        <v>94.339808980085891</v>
      </c>
      <c r="T118" s="397">
        <f t="shared" si="97"/>
        <v>102.96376875961032</v>
      </c>
      <c r="U118" s="397">
        <f t="shared" si="97"/>
        <v>111.90833099411448</v>
      </c>
      <c r="V118" s="397">
        <f t="shared" si="97"/>
        <v>121.18315782044486</v>
      </c>
      <c r="W118" s="397">
        <f t="shared" si="97"/>
        <v>127.73443474474934</v>
      </c>
      <c r="X118" s="397">
        <f t="shared" si="97"/>
        <v>134.50742352727579</v>
      </c>
      <c r="Y118" s="397">
        <f t="shared" si="97"/>
        <v>141.50854695294595</v>
      </c>
      <c r="Z118" s="397">
        <f t="shared" si="97"/>
        <v>148.74439978871868</v>
      </c>
      <c r="AA118" s="397">
        <f t="shared" si="97"/>
        <v>151.86803218428176</v>
      </c>
      <c r="AC118" s="33" t="s">
        <v>554</v>
      </c>
    </row>
    <row r="119" spans="1:29" s="33" customFormat="1" ht="12" thickBot="1">
      <c r="A119" s="399" t="s">
        <v>553</v>
      </c>
      <c r="B119" s="400" t="s">
        <v>15</v>
      </c>
      <c r="C119" s="401">
        <f>'Inputs into time calculations'!$B$74/1000000</f>
        <v>311.04545360915722</v>
      </c>
      <c r="D119" s="401">
        <f>C119*'Main calculations'!D229/'Main calculations'!C229</f>
        <v>317.57740813494956</v>
      </c>
      <c r="E119" s="401">
        <f>D119*'Main calculations'!E229/'Main calculations'!D229</f>
        <v>324.24653370578341</v>
      </c>
      <c r="F119" s="401">
        <f>E119*'Main calculations'!F229/'Main calculations'!E229</f>
        <v>331.05571091360486</v>
      </c>
      <c r="G119" s="401">
        <f>F119*'Main calculations'!G229/'Main calculations'!F229</f>
        <v>338.00788084279048</v>
      </c>
      <c r="H119" s="401">
        <f>G119*'Main calculations'!H229/'Main calculations'!G229</f>
        <v>345.10604634048906</v>
      </c>
      <c r="I119" s="401">
        <f>H119*'Main calculations'!I229/'Main calculations'!H229</f>
        <v>352.35327331363925</v>
      </c>
      <c r="J119" s="401">
        <f>I119*'Main calculations'!J229/'Main calculations'!I229</f>
        <v>359.75269205322564</v>
      </c>
      <c r="K119" s="401">
        <f>J119*'Main calculations'!K229/'Main calculations'!J229</f>
        <v>367.30749858634334</v>
      </c>
      <c r="L119" s="401">
        <f>K119*'Main calculations'!L229/'Main calculations'!K229</f>
        <v>375.02095605665647</v>
      </c>
      <c r="M119" s="401">
        <f>L119*'Main calculations'!M229/'Main calculations'!L229</f>
        <v>382.89639613384617</v>
      </c>
      <c r="N119" s="401">
        <f>M119*'Main calculations'!N229/'Main calculations'!M229</f>
        <v>390.9372204526569</v>
      </c>
      <c r="O119" s="401">
        <f>N119*'Main calculations'!O229/'Main calculations'!N229</f>
        <v>399.14690208216257</v>
      </c>
      <c r="P119" s="401">
        <f>O119*'Main calculations'!P229/'Main calculations'!O229</f>
        <v>407.528987025888</v>
      </c>
      <c r="Q119" s="401">
        <f>P119*'Main calculations'!Q229/'Main calculations'!P229</f>
        <v>416.08709575343164</v>
      </c>
      <c r="R119" s="401">
        <f>Q119*'Main calculations'!R229/'Main calculations'!Q229</f>
        <v>424.82492476425364</v>
      </c>
      <c r="S119" s="401">
        <f>R119*'Main calculations'!S229/'Main calculations'!R229</f>
        <v>433.74624818430294</v>
      </c>
      <c r="T119" s="401">
        <f>S119*'Main calculations'!T229/'Main calculations'!S229</f>
        <v>442.85491939617339</v>
      </c>
      <c r="U119" s="401">
        <f>T119*'Main calculations'!U229/'Main calculations'!T229</f>
        <v>452.1548727034928</v>
      </c>
      <c r="V119" s="401">
        <f>U119*'Main calculations'!V229/'Main calculations'!U229</f>
        <v>461.65012503026617</v>
      </c>
      <c r="W119" s="401">
        <f>V119*'Main calculations'!W229/'Main calculations'!V229</f>
        <v>471.34477765590162</v>
      </c>
      <c r="X119" s="401">
        <f>W119*'Main calculations'!X229/'Main calculations'!W229</f>
        <v>481.24301798667545</v>
      </c>
      <c r="Y119" s="401">
        <f>X119*'Main calculations'!Y229/'Main calculations'!X229</f>
        <v>491.34912136439561</v>
      </c>
      <c r="Z119" s="401">
        <f>Y119*'Main calculations'!Z229/'Main calculations'!Y229</f>
        <v>501.66745291304784</v>
      </c>
      <c r="AA119" s="401">
        <f>Z119*'Main calculations'!AA229/'Main calculations'!Z229</f>
        <v>512.20246942422182</v>
      </c>
      <c r="AB119" s="399"/>
      <c r="AC119" s="399" t="s">
        <v>965</v>
      </c>
    </row>
    <row r="120" spans="1:29" s="27" customFormat="1" ht="11.6"/>
    <row r="121" spans="1:29" s="27" customFormat="1" ht="11.6"/>
    <row r="122" spans="1:29" s="27" customFormat="1" ht="11.6">
      <c r="A122" s="27" t="s">
        <v>650</v>
      </c>
      <c r="B122" s="27">
        <v>6</v>
      </c>
      <c r="C122" s="27" t="s">
        <v>794</v>
      </c>
    </row>
    <row r="123" spans="1:29" s="27" customFormat="1" ht="12" thickBot="1">
      <c r="C123" s="27" t="s">
        <v>578</v>
      </c>
    </row>
    <row r="124" spans="1:29" s="27" customFormat="1" ht="12" thickBot="1">
      <c r="A124" s="14"/>
      <c r="B124" s="14" t="s">
        <v>91</v>
      </c>
      <c r="C124" s="15">
        <v>2016</v>
      </c>
      <c r="D124" s="15">
        <v>2017</v>
      </c>
      <c r="E124" s="15">
        <v>2018</v>
      </c>
      <c r="F124" s="15">
        <v>2019</v>
      </c>
      <c r="G124" s="15">
        <v>2020</v>
      </c>
      <c r="H124" s="15">
        <v>2021</v>
      </c>
      <c r="I124" s="15">
        <v>2022</v>
      </c>
      <c r="J124" s="15">
        <v>2023</v>
      </c>
      <c r="K124" s="15">
        <v>2024</v>
      </c>
      <c r="L124" s="15">
        <v>2025</v>
      </c>
      <c r="M124" s="15">
        <v>2026</v>
      </c>
      <c r="N124" s="15">
        <v>2027</v>
      </c>
      <c r="O124" s="15">
        <v>2028</v>
      </c>
      <c r="P124" s="15">
        <v>2029</v>
      </c>
      <c r="Q124" s="15">
        <v>2030</v>
      </c>
      <c r="R124" s="15">
        <v>2031</v>
      </c>
      <c r="S124" s="15">
        <v>2032</v>
      </c>
      <c r="T124" s="15">
        <v>2033</v>
      </c>
      <c r="U124" s="15">
        <v>2034</v>
      </c>
      <c r="V124" s="15">
        <v>2035</v>
      </c>
      <c r="W124" s="15">
        <v>2036</v>
      </c>
      <c r="X124" s="15">
        <v>2037</v>
      </c>
      <c r="Y124" s="15">
        <v>2038</v>
      </c>
      <c r="Z124" s="15">
        <v>2039</v>
      </c>
      <c r="AA124" s="15">
        <v>2040</v>
      </c>
      <c r="AB124" s="292"/>
      <c r="AC124" s="292" t="s">
        <v>828</v>
      </c>
    </row>
    <row r="125" spans="1:29" s="27" customFormat="1" ht="11.6">
      <c r="A125" s="197" t="s">
        <v>616</v>
      </c>
      <c r="B125" s="216" t="s">
        <v>15</v>
      </c>
      <c r="C125" s="230" t="s">
        <v>47</v>
      </c>
      <c r="D125" s="230" t="s">
        <v>47</v>
      </c>
      <c r="E125" s="230" t="s">
        <v>47</v>
      </c>
      <c r="F125" s="230" t="s">
        <v>47</v>
      </c>
      <c r="G125" s="21">
        <f t="shared" ref="G125:AA125" si="98">G127+G130</f>
        <v>16.359085656114715</v>
      </c>
      <c r="H125" s="21">
        <f t="shared" si="98"/>
        <v>39.436756907386545</v>
      </c>
      <c r="I125" s="21">
        <f t="shared" si="98"/>
        <v>88.819695887738959</v>
      </c>
      <c r="J125" s="21">
        <f t="shared" si="98"/>
        <v>159.60544072243135</v>
      </c>
      <c r="K125" s="21">
        <f t="shared" si="98"/>
        <v>288.87859291484062</v>
      </c>
      <c r="L125" s="21">
        <f t="shared" si="98"/>
        <v>397.23492909009713</v>
      </c>
      <c r="M125" s="21">
        <f t="shared" si="98"/>
        <v>536.52412389490746</v>
      </c>
      <c r="N125" s="21">
        <f t="shared" si="98"/>
        <v>714.62482044085311</v>
      </c>
      <c r="O125" s="21">
        <f t="shared" si="98"/>
        <v>941.29976952618836</v>
      </c>
      <c r="P125" s="21">
        <f t="shared" si="98"/>
        <v>1228.6287004459384</v>
      </c>
      <c r="Q125" s="21">
        <f t="shared" si="98"/>
        <v>1455.2057476823118</v>
      </c>
      <c r="R125" s="21">
        <f t="shared" si="98"/>
        <v>1712.5360779934476</v>
      </c>
      <c r="S125" s="21">
        <f t="shared" si="98"/>
        <v>2004.3129658745754</v>
      </c>
      <c r="T125" s="21">
        <f t="shared" si="98"/>
        <v>2334.6447434044203</v>
      </c>
      <c r="U125" s="21">
        <f t="shared" si="98"/>
        <v>2708.0995386865466</v>
      </c>
      <c r="V125" s="21">
        <f t="shared" si="98"/>
        <v>2994.9940771354404</v>
      </c>
      <c r="W125" s="21">
        <f t="shared" si="98"/>
        <v>3224.134799866883</v>
      </c>
      <c r="X125" s="21">
        <f t="shared" si="98"/>
        <v>3467.3920790919628</v>
      </c>
      <c r="Y125" s="21">
        <f t="shared" si="98"/>
        <v>3725.554050006434</v>
      </c>
      <c r="Z125" s="21">
        <f t="shared" si="98"/>
        <v>3999.450431852134</v>
      </c>
      <c r="AA125" s="21">
        <f t="shared" si="98"/>
        <v>4170.3985298763246</v>
      </c>
      <c r="AC125" s="27" t="s">
        <v>623</v>
      </c>
    </row>
    <row r="126" spans="1:29" s="27" customFormat="1" ht="11.6">
      <c r="A126" s="197" t="s">
        <v>198</v>
      </c>
      <c r="B126" s="216" t="s">
        <v>7</v>
      </c>
      <c r="C126" s="230" t="s">
        <v>47</v>
      </c>
      <c r="D126" s="230" t="s">
        <v>47</v>
      </c>
      <c r="E126" s="230" t="s">
        <v>47</v>
      </c>
      <c r="F126" s="230" t="s">
        <v>47</v>
      </c>
      <c r="G126" s="73">
        <f>100*G10/'Main calculations'!G229</f>
        <v>8.8937368257895489E-4</v>
      </c>
      <c r="H126" s="72">
        <f>100*H10/'Main calculations'!H229</f>
        <v>2.0999100838669771E-3</v>
      </c>
      <c r="I126" s="72">
        <f>100*I10/'Main calculations'!I229</f>
        <v>4.6321545967653917E-3</v>
      </c>
      <c r="J126" s="72">
        <f>100*J10/'Main calculations'!J229</f>
        <v>8.1525920903070866E-3</v>
      </c>
      <c r="K126" s="72">
        <f>100*K10/'Main calculations'!K229</f>
        <v>1.4452322341908019E-2</v>
      </c>
      <c r="L126" s="72">
        <f>100*L10/'Main calculations'!L229</f>
        <v>1.9464532019783844E-2</v>
      </c>
      <c r="M126" s="72">
        <f>100*M10/'Main calculations'!M229</f>
        <v>2.5748981147410831E-2</v>
      </c>
      <c r="N126" s="72">
        <f>100*N10/'Main calculations'!N229</f>
        <v>3.3591016729896124E-2</v>
      </c>
      <c r="O126" s="72">
        <f>100*O10/'Main calculations'!O229</f>
        <v>4.3335844417153525E-2</v>
      </c>
      <c r="P126" s="72">
        <f>100*P10/'Main calculations'!P229</f>
        <v>5.5400568977314074E-2</v>
      </c>
      <c r="Q126" s="72">
        <f>100*Q10/'Main calculations'!Q229</f>
        <v>6.4267621648586321E-2</v>
      </c>
      <c r="R126" s="38">
        <f>100*R10/'Main calculations'!R229</f>
        <v>7.4076731955861286E-2</v>
      </c>
      <c r="S126" s="38">
        <f>100*S10/'Main calculations'!S229</f>
        <v>8.4914504285551196E-2</v>
      </c>
      <c r="T126" s="38">
        <f>100*T10/'Main calculations'!T229</f>
        <v>9.6874930761458478E-2</v>
      </c>
      <c r="U126" s="38">
        <f>100*U10/'Main calculations'!U229</f>
        <v>0.11005999321914568</v>
      </c>
      <c r="V126" s="38">
        <f>100*V10/'Main calculations'!V229</f>
        <v>0.1192161477521356</v>
      </c>
      <c r="W126" s="38">
        <f>100*W10/'Main calculations'!W229</f>
        <v>0.12569747842785467</v>
      </c>
      <c r="X126" s="38">
        <f>100*X10/'Main calculations'!X229</f>
        <v>0.13240079261487755</v>
      </c>
      <c r="Y126" s="38">
        <f>100*Y10/'Main calculations'!Y229</f>
        <v>0.13933260557186161</v>
      </c>
      <c r="Z126" s="38">
        <f>100*Z10/'Main calculations'!Z229</f>
        <v>0.14649960938036677</v>
      </c>
      <c r="AA126" s="38">
        <f>100*AA10/'Main calculations'!AA229</f>
        <v>0.14961941929527284</v>
      </c>
      <c r="AC126" s="38" t="s">
        <v>624</v>
      </c>
    </row>
    <row r="127" spans="1:29" s="27" customFormat="1" ht="11.6">
      <c r="A127" s="197" t="s">
        <v>621</v>
      </c>
      <c r="B127" s="216" t="s">
        <v>15</v>
      </c>
      <c r="C127" s="230" t="s">
        <v>47</v>
      </c>
      <c r="D127" s="230" t="s">
        <v>47</v>
      </c>
      <c r="E127" s="230" t="s">
        <v>47</v>
      </c>
      <c r="F127" s="230" t="s">
        <v>47</v>
      </c>
      <c r="G127" s="21">
        <f>G128/100*'Main calculations'!G229</f>
        <v>12.765576009453543</v>
      </c>
      <c r="H127" s="21">
        <f>H128/100*'Main calculations'!H229</f>
        <v>30.773903166122938</v>
      </c>
      <c r="I127" s="21">
        <f>I128/100*'Main calculations'!I229</f>
        <v>69.309165733701875</v>
      </c>
      <c r="J127" s="21">
        <f>J128/100*'Main calculations'!J229</f>
        <v>124.54579845683288</v>
      </c>
      <c r="K127" s="21">
        <f>K128/100*'Main calculations'!K229</f>
        <v>225.42223403421042</v>
      </c>
      <c r="L127" s="21">
        <f>L128/100*'Main calculations'!L229</f>
        <v>309.97653460015385</v>
      </c>
      <c r="M127" s="21">
        <f>M128/100*'Main calculations'!M229</f>
        <v>418.66884424105143</v>
      </c>
      <c r="N127" s="21">
        <f>N128/100*'Main calculations'!N229</f>
        <v>557.64714821759901</v>
      </c>
      <c r="O127" s="21">
        <f>O128/100*'Main calculations'!O229</f>
        <v>734.52966798766158</v>
      </c>
      <c r="P127" s="21">
        <f>P128/100*'Main calculations'!P229</f>
        <v>958.74264568547676</v>
      </c>
      <c r="Q127" s="21">
        <f>Q128/100*'Main calculations'!Q229</f>
        <v>1135.5487691629432</v>
      </c>
      <c r="R127" s="21">
        <f>R128/100*'Main calculations'!R229</f>
        <v>1336.3527725270758</v>
      </c>
      <c r="S127" s="21">
        <f>S128/100*'Main calculations'!S229</f>
        <v>1564.0366491412997</v>
      </c>
      <c r="T127" s="21">
        <f>T128/100*'Main calculations'!T229</f>
        <v>1821.8062765543661</v>
      </c>
      <c r="U127" s="21">
        <f>U128/100*'Main calculations'!U229</f>
        <v>2113.2263274963298</v>
      </c>
      <c r="V127" s="21">
        <f>V128/100*'Main calculations'!V229</f>
        <v>2337.1003333089666</v>
      </c>
      <c r="W127" s="21">
        <f>W128/100*'Main calculations'!W229</f>
        <v>2515.9069838992455</v>
      </c>
      <c r="X127" s="21">
        <f>X128/100*'Main calculations'!X229</f>
        <v>2705.7292852844034</v>
      </c>
      <c r="Y127" s="21">
        <f>Y128/100*'Main calculations'!Y229</f>
        <v>2907.1822473713883</v>
      </c>
      <c r="Z127" s="21">
        <f>Z128/100*'Main calculations'!Z229</f>
        <v>3120.9133295763822</v>
      </c>
      <c r="AA127" s="21">
        <f>AA128/100*'Main calculations'!AA229</f>
        <v>3254.3102066924112</v>
      </c>
      <c r="AC127" s="27" t="s">
        <v>625</v>
      </c>
    </row>
    <row r="128" spans="1:29" s="27" customFormat="1" ht="11.6">
      <c r="A128" s="197" t="s">
        <v>859</v>
      </c>
      <c r="B128" s="216" t="s">
        <v>7</v>
      </c>
      <c r="C128" s="230" t="s">
        <v>47</v>
      </c>
      <c r="D128" s="230" t="s">
        <v>47</v>
      </c>
      <c r="E128" s="230" t="s">
        <v>47</v>
      </c>
      <c r="F128" s="230" t="s">
        <v>47</v>
      </c>
      <c r="G128" s="160">
        <f t="shared" ref="G128:AA128" si="99">G129*G59</f>
        <v>6.9400989666715176E-4</v>
      </c>
      <c r="H128" s="160">
        <f t="shared" si="99"/>
        <v>1.6386344782418861E-3</v>
      </c>
      <c r="I128" s="160">
        <f t="shared" si="99"/>
        <v>3.6146348784747494E-3</v>
      </c>
      <c r="J128" s="160">
        <f t="shared" si="99"/>
        <v>6.3617573861155579E-3</v>
      </c>
      <c r="K128" s="160">
        <f t="shared" si="99"/>
        <v>1.1277660820841218E-2</v>
      </c>
      <c r="L128" s="160">
        <f t="shared" si="99"/>
        <v>1.5188866187892194E-2</v>
      </c>
      <c r="M128" s="160">
        <f t="shared" si="99"/>
        <v>2.0092845218424367E-2</v>
      </c>
      <c r="N128" s="160">
        <f t="shared" si="99"/>
        <v>2.6212264322977859E-2</v>
      </c>
      <c r="O128" s="160">
        <f t="shared" si="99"/>
        <v>3.3816499740268062E-2</v>
      </c>
      <c r="P128" s="160">
        <f t="shared" si="99"/>
        <v>4.3231033146558004E-2</v>
      </c>
      <c r="Q128" s="160">
        <f t="shared" si="99"/>
        <v>5.01503095189905E-2</v>
      </c>
      <c r="R128" s="160">
        <f t="shared" si="99"/>
        <v>5.7804706949560115E-2</v>
      </c>
      <c r="S128" s="160">
        <f t="shared" si="99"/>
        <v>6.6261805919275232E-2</v>
      </c>
      <c r="T128" s="160">
        <f t="shared" si="99"/>
        <v>7.5594951823221582E-2</v>
      </c>
      <c r="U128" s="160">
        <f t="shared" si="99"/>
        <v>8.5883724712560019E-2</v>
      </c>
      <c r="V128" s="160">
        <f t="shared" si="99"/>
        <v>9.3028597543609537E-2</v>
      </c>
      <c r="W128" s="160">
        <f t="shared" si="99"/>
        <v>9.8086210244131639E-2</v>
      </c>
      <c r="X128" s="160">
        <f t="shared" si="99"/>
        <v>0.1033170445687691</v>
      </c>
      <c r="Y128" s="160">
        <f t="shared" si="99"/>
        <v>0.1087261846054324</v>
      </c>
      <c r="Z128" s="160">
        <f t="shared" si="99"/>
        <v>0.11431885242322805</v>
      </c>
      <c r="AA128" s="160">
        <f t="shared" si="99"/>
        <v>0.11675335099123907</v>
      </c>
      <c r="AC128" s="27" t="s">
        <v>573</v>
      </c>
    </row>
    <row r="129" spans="1:29" s="27" customFormat="1" ht="11.6">
      <c r="A129" s="197" t="s">
        <v>860</v>
      </c>
      <c r="B129" s="216"/>
      <c r="C129" s="230" t="s">
        <v>47</v>
      </c>
      <c r="D129" s="230" t="s">
        <v>47</v>
      </c>
      <c r="E129" s="230" t="s">
        <v>47</v>
      </c>
      <c r="F129" s="230" t="s">
        <v>47</v>
      </c>
      <c r="G129" s="187">
        <f t="shared" ref="G129:AA129" si="100">G137*$C$143+G138*$C$144+G139*$C$145</f>
        <v>3.0844884296317855E-4</v>
      </c>
      <c r="H129" s="160">
        <f t="shared" si="100"/>
        <v>3.8556105370397321E-4</v>
      </c>
      <c r="I129" s="160">
        <f t="shared" si="100"/>
        <v>5.7834158055595987E-4</v>
      </c>
      <c r="J129" s="160">
        <f t="shared" si="100"/>
        <v>7.7112210740794642E-4</v>
      </c>
      <c r="K129" s="160">
        <f t="shared" si="100"/>
        <v>1.1566831611119197E-3</v>
      </c>
      <c r="L129" s="160">
        <f t="shared" si="100"/>
        <v>1.3501214389237506E-3</v>
      </c>
      <c r="M129" s="160">
        <f t="shared" si="100"/>
        <v>1.5759094288960288E-3</v>
      </c>
      <c r="N129" s="160">
        <f t="shared" si="100"/>
        <v>1.8394571454721305E-3</v>
      </c>
      <c r="O129" s="160">
        <f t="shared" si="100"/>
        <v>2.1470793485884486E-3</v>
      </c>
      <c r="P129" s="160">
        <f t="shared" si="100"/>
        <v>2.5061468490758265E-3</v>
      </c>
      <c r="Q129" s="160">
        <f t="shared" si="100"/>
        <v>2.6746831743461597E-3</v>
      </c>
      <c r="R129" s="160">
        <f t="shared" si="100"/>
        <v>2.8545534296079071E-3</v>
      </c>
      <c r="S129" s="160">
        <f t="shared" si="100"/>
        <v>3.0465198123804708E-3</v>
      </c>
      <c r="T129" s="160">
        <f t="shared" si="100"/>
        <v>3.2513957773428635E-3</v>
      </c>
      <c r="U129" s="160">
        <f t="shared" si="100"/>
        <v>3.4700494833357584E-3</v>
      </c>
      <c r="V129" s="160">
        <f t="shared" si="100"/>
        <v>3.5439465730898873E-3</v>
      </c>
      <c r="W129" s="160">
        <f t="shared" si="100"/>
        <v>3.6194173521819791E-3</v>
      </c>
      <c r="X129" s="160">
        <f t="shared" si="100"/>
        <v>3.6964953334085544E-3</v>
      </c>
      <c r="Y129" s="160">
        <f t="shared" si="100"/>
        <v>3.7752147432441804E-3</v>
      </c>
      <c r="Z129" s="160">
        <f t="shared" si="100"/>
        <v>3.8556105370397319E-3</v>
      </c>
      <c r="AA129" s="160">
        <f t="shared" si="100"/>
        <v>3.9377184145443197E-3</v>
      </c>
      <c r="AC129" s="27" t="s">
        <v>92</v>
      </c>
    </row>
    <row r="130" spans="1:29" s="27" customFormat="1" ht="11.6">
      <c r="A130" s="197" t="s">
        <v>619</v>
      </c>
      <c r="B130" s="216" t="s">
        <v>15</v>
      </c>
      <c r="C130" s="230" t="s">
        <v>47</v>
      </c>
      <c r="D130" s="230" t="s">
        <v>47</v>
      </c>
      <c r="E130" s="230" t="s">
        <v>47</v>
      </c>
      <c r="F130" s="230" t="s">
        <v>47</v>
      </c>
      <c r="G130" s="35">
        <f>G127*'Main calculations'!$C$131</f>
        <v>3.5935096466611722</v>
      </c>
      <c r="H130" s="35">
        <f>H127*'Main calculations'!$C$131</f>
        <v>8.6628537412636071</v>
      </c>
      <c r="I130" s="35">
        <f>I127*'Main calculations'!$C$131</f>
        <v>19.510530154037077</v>
      </c>
      <c r="J130" s="35">
        <f>J127*'Main calculations'!$C$131</f>
        <v>35.059642265598455</v>
      </c>
      <c r="K130" s="35">
        <f>K127*'Main calculations'!$C$131</f>
        <v>63.456358880630226</v>
      </c>
      <c r="L130" s="35">
        <f>L127*'Main calculations'!$C$131</f>
        <v>87.258394489943299</v>
      </c>
      <c r="M130" s="35">
        <f>M127*'Main calculations'!$C$131</f>
        <v>117.85527965385597</v>
      </c>
      <c r="N130" s="35">
        <f>N127*'Main calculations'!$C$131</f>
        <v>156.9776722232541</v>
      </c>
      <c r="O130" s="35">
        <f>O127*'Main calculations'!$C$131</f>
        <v>206.77010153852672</v>
      </c>
      <c r="P130" s="35">
        <f>P127*'Main calculations'!$C$131</f>
        <v>269.88605476046166</v>
      </c>
      <c r="Q130" s="35">
        <f>Q127*'Main calculations'!$C$131</f>
        <v>319.65697851936847</v>
      </c>
      <c r="R130" s="35">
        <f>R127*'Main calculations'!$C$131</f>
        <v>376.18330546637179</v>
      </c>
      <c r="S130" s="35">
        <f>S127*'Main calculations'!$C$131</f>
        <v>440.27631673327579</v>
      </c>
      <c r="T130" s="35">
        <f>T127*'Main calculations'!$C$131</f>
        <v>512.83846685005403</v>
      </c>
      <c r="U130" s="35">
        <f>U127*'Main calculations'!$C$131</f>
        <v>594.87321119021681</v>
      </c>
      <c r="V130" s="35">
        <f>V127*'Main calculations'!$C$131</f>
        <v>657.89374382647406</v>
      </c>
      <c r="W130" s="35">
        <f>W127*'Main calculations'!$C$131</f>
        <v>708.22781596763753</v>
      </c>
      <c r="X130" s="35">
        <f>X127*'Main calculations'!$C$131</f>
        <v>761.66279380755952</v>
      </c>
      <c r="Y130" s="35">
        <f>Y127*'Main calculations'!$C$131</f>
        <v>818.3718026350457</v>
      </c>
      <c r="Z130" s="35">
        <f>Z127*'Main calculations'!$C$131</f>
        <v>878.53710227575152</v>
      </c>
      <c r="AA130" s="35">
        <f>AA127*'Main calculations'!$C$131</f>
        <v>916.08832318391364</v>
      </c>
      <c r="AC130" s="27" t="s">
        <v>1101</v>
      </c>
    </row>
    <row r="131" spans="1:29" s="27" customFormat="1" ht="11.6">
      <c r="A131" s="27" t="s">
        <v>861</v>
      </c>
      <c r="B131" s="216"/>
      <c r="C131" s="72">
        <f>C133*C132/100</f>
        <v>0.28149999999999997</v>
      </c>
      <c r="AC131" s="27" t="s">
        <v>626</v>
      </c>
    </row>
    <row r="132" spans="1:29" s="27" customFormat="1" ht="11.6">
      <c r="A132" s="27" t="s">
        <v>862</v>
      </c>
      <c r="B132" s="216" t="s">
        <v>7</v>
      </c>
      <c r="C132" s="53">
        <v>56.3</v>
      </c>
      <c r="AC132" s="27" t="s">
        <v>627</v>
      </c>
    </row>
    <row r="133" spans="1:29" s="27" customFormat="1" ht="11.6">
      <c r="A133" s="39" t="s">
        <v>863</v>
      </c>
      <c r="B133" s="241" t="s">
        <v>6</v>
      </c>
      <c r="C133" s="39">
        <v>0.5</v>
      </c>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C133" s="33" t="s">
        <v>628</v>
      </c>
    </row>
    <row r="134" spans="1:29" s="27" customFormat="1" ht="11.6">
      <c r="B134" s="216"/>
      <c r="D134" s="219"/>
      <c r="E134" s="219"/>
      <c r="F134" s="219"/>
      <c r="P134" s="222"/>
    </row>
    <row r="135" spans="1:29" s="27" customFormat="1" ht="11.6">
      <c r="A135" s="19" t="s">
        <v>694</v>
      </c>
      <c r="B135" s="233"/>
      <c r="D135" s="219"/>
      <c r="E135" s="219"/>
      <c r="F135" s="219"/>
      <c r="P135" s="222"/>
    </row>
    <row r="136" spans="1:29" s="27" customFormat="1" ht="11.6">
      <c r="A136" s="26" t="s">
        <v>693</v>
      </c>
      <c r="B136" s="233"/>
      <c r="D136" s="219"/>
      <c r="E136" s="219"/>
      <c r="F136" s="219"/>
      <c r="P136" s="222"/>
    </row>
    <row r="137" spans="1:29" s="27" customFormat="1" ht="11.6">
      <c r="A137" s="27" t="s">
        <v>147</v>
      </c>
      <c r="B137" s="216"/>
      <c r="D137" s="54"/>
      <c r="E137" s="54"/>
      <c r="F137" s="54"/>
      <c r="G137" s="222">
        <f t="shared" ref="G137:Y137" si="101">G138*$Z$137/$Z$138</f>
        <v>6.3999999999999997E-5</v>
      </c>
      <c r="H137" s="222">
        <f t="shared" si="101"/>
        <v>8.0000000000000007E-5</v>
      </c>
      <c r="I137" s="222">
        <f t="shared" si="101"/>
        <v>1.2000000000000002E-4</v>
      </c>
      <c r="J137" s="222">
        <f t="shared" si="101"/>
        <v>1.6000000000000001E-4</v>
      </c>
      <c r="K137" s="222">
        <f t="shared" si="101"/>
        <v>2.4000000000000003E-4</v>
      </c>
      <c r="L137" s="222">
        <f t="shared" si="101"/>
        <v>2.8013647663912639E-4</v>
      </c>
      <c r="M137" s="222">
        <f t="shared" si="101"/>
        <v>3.2698518976576578E-4</v>
      </c>
      <c r="N137" s="222">
        <f t="shared" si="101"/>
        <v>3.8166866239232403E-4</v>
      </c>
      <c r="O137" s="222">
        <f t="shared" si="101"/>
        <v>4.4549714302564118E-4</v>
      </c>
      <c r="P137" s="222">
        <f t="shared" si="101"/>
        <v>5.2000000000000006E-4</v>
      </c>
      <c r="Q137" s="222">
        <f t="shared" si="101"/>
        <v>5.5496957457736029E-4</v>
      </c>
      <c r="R137" s="222">
        <f t="shared" si="101"/>
        <v>5.9229082443572345E-4</v>
      </c>
      <c r="S137" s="222">
        <f t="shared" si="101"/>
        <v>6.3212189781378352E-4</v>
      </c>
      <c r="T137" s="222">
        <f t="shared" si="101"/>
        <v>6.7463157828990194E-4</v>
      </c>
      <c r="U137" s="222">
        <f t="shared" si="101"/>
        <v>7.1999999999999994E-4</v>
      </c>
      <c r="V137" s="222">
        <f t="shared" si="101"/>
        <v>7.3533289507209717E-4</v>
      </c>
      <c r="W137" s="222">
        <f t="shared" si="101"/>
        <v>7.5099231468765562E-4</v>
      </c>
      <c r="X137" s="222">
        <f t="shared" si="101"/>
        <v>7.6698521241134619E-4</v>
      </c>
      <c r="Y137" s="222">
        <f t="shared" si="101"/>
        <v>7.8331868988878149E-4</v>
      </c>
      <c r="Z137" s="223">
        <v>8.0000000000000004E-4</v>
      </c>
      <c r="AA137" s="222">
        <f>AA138*$Z$137/$Z$138</f>
        <v>8.1703655008010824E-4</v>
      </c>
      <c r="AC137" s="27" t="s">
        <v>968</v>
      </c>
    </row>
    <row r="138" spans="1:29" s="27" customFormat="1" ht="11.6">
      <c r="A138" s="27" t="s">
        <v>148</v>
      </c>
      <c r="B138" s="216"/>
      <c r="D138" s="54"/>
      <c r="E138" s="54"/>
      <c r="F138" s="54"/>
      <c r="G138" s="27">
        <v>8.0000000000000004E-4</v>
      </c>
      <c r="H138" s="27">
        <v>1E-3</v>
      </c>
      <c r="I138" s="27">
        <v>1.5E-3</v>
      </c>
      <c r="J138" s="27">
        <v>2E-3</v>
      </c>
      <c r="K138" s="27">
        <v>3.0000000000000001E-3</v>
      </c>
      <c r="L138" s="222">
        <f>K138*(($P138/$K138)^(1/5))</f>
        <v>3.5017059579890795E-3</v>
      </c>
      <c r="M138" s="222">
        <f>L138*(($P138/$K138)^(1/5))</f>
        <v>4.0873148720720724E-3</v>
      </c>
      <c r="N138" s="222">
        <f>M138*(($P138/$K138)^(1/5))</f>
        <v>4.7708582799040498E-3</v>
      </c>
      <c r="O138" s="222">
        <f>N138*(($P138/$K138)^(1/5))</f>
        <v>5.5687142878205146E-3</v>
      </c>
      <c r="P138" s="27">
        <v>6.5000000000000006E-3</v>
      </c>
      <c r="Q138" s="222">
        <f>P138*(($U138/$P138)^(1/5))</f>
        <v>6.9371196822170036E-3</v>
      </c>
      <c r="R138" s="222">
        <f>Q138*(($U138/$P138)^(1/5))</f>
        <v>7.4036353054465435E-3</v>
      </c>
      <c r="S138" s="222">
        <f>R138*(($U138/$P138)^(1/5))</f>
        <v>7.9015237226722941E-3</v>
      </c>
      <c r="T138" s="222">
        <f>S138*(($U138/$P138)^(1/5))</f>
        <v>8.432894728623774E-3</v>
      </c>
      <c r="U138" s="222">
        <v>8.9999999999999993E-3</v>
      </c>
      <c r="V138" s="222">
        <f>U138*(($Z138/$U138)^(1/5))</f>
        <v>9.191661188401215E-3</v>
      </c>
      <c r="W138" s="222">
        <f>V138*(($Z138/$U138)^(1/5))</f>
        <v>9.3874039335956946E-3</v>
      </c>
      <c r="X138" s="222">
        <f>W138*(($Z138/$U138)^(1/5))</f>
        <v>9.5873151551418272E-3</v>
      </c>
      <c r="Y138" s="222">
        <f>X138*(($Z138/$U138)^(1/5))</f>
        <v>9.7914836236097681E-3</v>
      </c>
      <c r="Z138" s="222">
        <v>0.01</v>
      </c>
      <c r="AA138" s="222">
        <f>Z138/Y138*Z138</f>
        <v>1.0212956876001352E-2</v>
      </c>
      <c r="AC138" s="27" t="s">
        <v>969</v>
      </c>
    </row>
    <row r="139" spans="1:29" s="27" customFormat="1" ht="11.6">
      <c r="A139" s="27" t="s">
        <v>87</v>
      </c>
      <c r="B139" s="216"/>
      <c r="D139" s="54"/>
      <c r="E139" s="54"/>
      <c r="F139" s="54"/>
      <c r="G139" s="222">
        <f t="shared" ref="G139:AA139" si="102">G137</f>
        <v>6.3999999999999997E-5</v>
      </c>
      <c r="H139" s="222">
        <f t="shared" si="102"/>
        <v>8.0000000000000007E-5</v>
      </c>
      <c r="I139" s="222">
        <f t="shared" si="102"/>
        <v>1.2000000000000002E-4</v>
      </c>
      <c r="J139" s="222">
        <f t="shared" si="102"/>
        <v>1.6000000000000001E-4</v>
      </c>
      <c r="K139" s="222">
        <f t="shared" si="102"/>
        <v>2.4000000000000003E-4</v>
      </c>
      <c r="L139" s="222">
        <f t="shared" si="102"/>
        <v>2.8013647663912639E-4</v>
      </c>
      <c r="M139" s="222">
        <f t="shared" si="102"/>
        <v>3.2698518976576578E-4</v>
      </c>
      <c r="N139" s="222">
        <f t="shared" si="102"/>
        <v>3.8166866239232403E-4</v>
      </c>
      <c r="O139" s="222">
        <f t="shared" si="102"/>
        <v>4.4549714302564118E-4</v>
      </c>
      <c r="P139" s="222">
        <f t="shared" si="102"/>
        <v>5.2000000000000006E-4</v>
      </c>
      <c r="Q139" s="222">
        <f t="shared" si="102"/>
        <v>5.5496957457736029E-4</v>
      </c>
      <c r="R139" s="222">
        <f t="shared" si="102"/>
        <v>5.9229082443572345E-4</v>
      </c>
      <c r="S139" s="222">
        <f t="shared" si="102"/>
        <v>6.3212189781378352E-4</v>
      </c>
      <c r="T139" s="222">
        <f t="shared" si="102"/>
        <v>6.7463157828990194E-4</v>
      </c>
      <c r="U139" s="222">
        <f t="shared" si="102"/>
        <v>7.1999999999999994E-4</v>
      </c>
      <c r="V139" s="222">
        <f t="shared" si="102"/>
        <v>7.3533289507209717E-4</v>
      </c>
      <c r="W139" s="222">
        <f t="shared" si="102"/>
        <v>7.5099231468765562E-4</v>
      </c>
      <c r="X139" s="222">
        <f t="shared" si="102"/>
        <v>7.6698521241134619E-4</v>
      </c>
      <c r="Y139" s="222">
        <f t="shared" si="102"/>
        <v>7.8331868988878149E-4</v>
      </c>
      <c r="Z139" s="222">
        <f t="shared" si="102"/>
        <v>8.0000000000000004E-4</v>
      </c>
      <c r="AA139" s="222">
        <f t="shared" si="102"/>
        <v>8.1703655008010824E-4</v>
      </c>
      <c r="AC139" s="27" t="s">
        <v>968</v>
      </c>
    </row>
    <row r="140" spans="1:29" s="27" customFormat="1" ht="11.6">
      <c r="A140" s="27" t="s">
        <v>86</v>
      </c>
      <c r="B140" s="216"/>
      <c r="D140" s="54"/>
      <c r="E140" s="54"/>
      <c r="F140" s="54"/>
      <c r="G140" s="27">
        <v>0</v>
      </c>
      <c r="H140" s="27">
        <v>0</v>
      </c>
      <c r="I140" s="27">
        <v>0</v>
      </c>
      <c r="J140" s="27">
        <v>0</v>
      </c>
      <c r="K140" s="27">
        <v>0</v>
      </c>
      <c r="L140" s="27">
        <v>0</v>
      </c>
      <c r="M140" s="27">
        <v>0</v>
      </c>
      <c r="N140" s="27">
        <v>0</v>
      </c>
      <c r="O140" s="27">
        <v>0</v>
      </c>
      <c r="P140" s="27">
        <v>0</v>
      </c>
      <c r="Q140" s="27">
        <v>0</v>
      </c>
      <c r="R140" s="27">
        <v>0</v>
      </c>
      <c r="S140" s="27">
        <v>0</v>
      </c>
      <c r="T140" s="27">
        <v>0</v>
      </c>
      <c r="U140" s="27">
        <v>0</v>
      </c>
      <c r="V140" s="27">
        <v>0</v>
      </c>
      <c r="W140" s="27">
        <v>0</v>
      </c>
      <c r="X140" s="27">
        <v>0</v>
      </c>
      <c r="Y140" s="27">
        <v>0</v>
      </c>
      <c r="Z140" s="27">
        <v>0</v>
      </c>
      <c r="AA140" s="27">
        <v>0</v>
      </c>
      <c r="AC140" s="27" t="s">
        <v>146</v>
      </c>
    </row>
    <row r="141" spans="1:29" s="27" customFormat="1" ht="11.6">
      <c r="B141" s="233"/>
      <c r="D141" s="54"/>
      <c r="E141" s="54"/>
      <c r="F141" s="54"/>
    </row>
    <row r="142" spans="1:29" s="27" customFormat="1" ht="11.6">
      <c r="A142" s="251" t="s">
        <v>211</v>
      </c>
      <c r="B142" s="233"/>
      <c r="D142" s="219"/>
      <c r="E142" s="219"/>
      <c r="F142" s="219"/>
      <c r="P142" s="222"/>
      <c r="AC142" s="27" t="s">
        <v>695</v>
      </c>
    </row>
    <row r="143" spans="1:29" s="27" customFormat="1" ht="11.6">
      <c r="A143" s="27" t="s">
        <v>147</v>
      </c>
      <c r="B143" s="233"/>
      <c r="C143" s="54">
        <f>SUM('ABS Health Survey'!B14:D15)/'Main calculations'!$C$226</f>
        <v>0.33081065347111049</v>
      </c>
      <c r="D143" s="54"/>
      <c r="E143" s="54"/>
      <c r="F143" s="54"/>
      <c r="K143" s="222"/>
      <c r="L143" s="222"/>
      <c r="M143" s="222"/>
      <c r="N143" s="222"/>
      <c r="O143" s="222"/>
      <c r="Q143" s="222"/>
      <c r="R143" s="222"/>
      <c r="S143" s="222"/>
      <c r="T143" s="222"/>
      <c r="U143" s="222"/>
      <c r="V143" s="222"/>
      <c r="W143" s="222"/>
      <c r="X143" s="222"/>
      <c r="Y143" s="222"/>
      <c r="Z143" s="223"/>
      <c r="AA143" s="222"/>
      <c r="AC143" s="27" t="s">
        <v>964</v>
      </c>
    </row>
    <row r="144" spans="1:29" s="27" customFormat="1" ht="11.6">
      <c r="A144" s="27" t="s">
        <v>148</v>
      </c>
      <c r="B144" s="233"/>
      <c r="C144" s="54">
        <f>SUM('ABS Health Survey'!E14:F15)/'Main calculations'!$C$226</f>
        <v>0.34510988211322952</v>
      </c>
      <c r="D144" s="54"/>
      <c r="E144" s="54"/>
      <c r="F144" s="54"/>
      <c r="L144" s="222"/>
      <c r="M144" s="222"/>
      <c r="N144" s="222"/>
      <c r="O144" s="222"/>
      <c r="Q144" s="222"/>
      <c r="R144" s="222"/>
      <c r="S144" s="222"/>
      <c r="T144" s="222"/>
      <c r="U144" s="222"/>
      <c r="V144" s="222"/>
      <c r="W144" s="222"/>
      <c r="X144" s="222"/>
      <c r="Y144" s="222"/>
      <c r="Z144" s="222"/>
      <c r="AA144" s="222"/>
    </row>
    <row r="145" spans="1:29" s="27" customFormat="1" ht="11.6">
      <c r="A145" s="27" t="s">
        <v>87</v>
      </c>
      <c r="B145" s="233"/>
      <c r="C145" s="54">
        <f>SUM('ABS Health Survey'!G14:G15)/'Main calculations'!$C$226</f>
        <v>0.17482899141318586</v>
      </c>
      <c r="D145" s="54"/>
      <c r="E145" s="54"/>
      <c r="F145" s="54"/>
      <c r="L145" s="222"/>
      <c r="M145" s="222"/>
      <c r="N145" s="222"/>
      <c r="O145" s="222"/>
      <c r="Q145" s="222"/>
      <c r="R145" s="222"/>
      <c r="S145" s="222"/>
      <c r="T145" s="222"/>
      <c r="U145" s="222"/>
      <c r="V145" s="222"/>
      <c r="W145" s="222"/>
      <c r="X145" s="222"/>
      <c r="Y145" s="222"/>
      <c r="AA145" s="222"/>
    </row>
    <row r="146" spans="1:29" s="27" customFormat="1" ht="12" thickBot="1">
      <c r="A146" s="225" t="s">
        <v>86</v>
      </c>
      <c r="B146" s="234"/>
      <c r="C146" s="252">
        <f>SUM('ABS Health Survey'!H14:H15)/'Main calculations'!$C$226</f>
        <v>0.14925047300247418</v>
      </c>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row>
    <row r="147" spans="1:29" s="27" customFormat="1" ht="11.6"/>
    <row r="148" spans="1:29" s="27" customFormat="1" ht="11.6"/>
    <row r="149" spans="1:29" s="27" customFormat="1" ht="11.6">
      <c r="A149" s="27" t="s">
        <v>650</v>
      </c>
      <c r="B149" s="27">
        <v>7</v>
      </c>
      <c r="C149" s="27" t="s">
        <v>795</v>
      </c>
    </row>
    <row r="150" spans="1:29" s="27" customFormat="1" ht="12" thickBot="1">
      <c r="C150" s="27" t="s">
        <v>578</v>
      </c>
    </row>
    <row r="151" spans="1:29" s="27" customFormat="1" ht="12" thickBot="1">
      <c r="A151" s="14"/>
      <c r="B151" s="14" t="s">
        <v>91</v>
      </c>
      <c r="C151" s="15">
        <v>2016</v>
      </c>
      <c r="D151" s="15">
        <v>2017</v>
      </c>
      <c r="E151" s="15">
        <v>2018</v>
      </c>
      <c r="F151" s="15">
        <v>2019</v>
      </c>
      <c r="G151" s="15">
        <v>2020</v>
      </c>
      <c r="H151" s="15">
        <v>2021</v>
      </c>
      <c r="I151" s="15">
        <v>2022</v>
      </c>
      <c r="J151" s="15">
        <v>2023</v>
      </c>
      <c r="K151" s="15">
        <v>2024</v>
      </c>
      <c r="L151" s="15">
        <v>2025</v>
      </c>
      <c r="M151" s="15">
        <v>2026</v>
      </c>
      <c r="N151" s="15">
        <v>2027</v>
      </c>
      <c r="O151" s="15">
        <v>2028</v>
      </c>
      <c r="P151" s="15">
        <v>2029</v>
      </c>
      <c r="Q151" s="15">
        <v>2030</v>
      </c>
      <c r="R151" s="15">
        <v>2031</v>
      </c>
      <c r="S151" s="15">
        <v>2032</v>
      </c>
      <c r="T151" s="15">
        <v>2033</v>
      </c>
      <c r="U151" s="15">
        <v>2034</v>
      </c>
      <c r="V151" s="15">
        <v>2035</v>
      </c>
      <c r="W151" s="15">
        <v>2036</v>
      </c>
      <c r="X151" s="15">
        <v>2037</v>
      </c>
      <c r="Y151" s="15">
        <v>2038</v>
      </c>
      <c r="Z151" s="15">
        <v>2039</v>
      </c>
      <c r="AA151" s="15">
        <v>2040</v>
      </c>
      <c r="AB151" s="292"/>
      <c r="AC151" s="292" t="s">
        <v>828</v>
      </c>
    </row>
    <row r="152" spans="1:29" s="27" customFormat="1" ht="11.6">
      <c r="A152" s="197" t="s">
        <v>556</v>
      </c>
      <c r="B152" s="216" t="s">
        <v>15</v>
      </c>
      <c r="C152" s="230" t="s">
        <v>47</v>
      </c>
      <c r="D152" s="230" t="s">
        <v>47</v>
      </c>
      <c r="E152" s="230" t="s">
        <v>47</v>
      </c>
      <c r="F152" s="230" t="s">
        <v>47</v>
      </c>
      <c r="G152" s="21">
        <f t="shared" ref="G152:AA152" si="103">G153*G154/1000</f>
        <v>362.11244879497616</v>
      </c>
      <c r="H152" s="21">
        <f t="shared" si="103"/>
        <v>684.69797394112891</v>
      </c>
      <c r="I152" s="21">
        <f t="shared" si="103"/>
        <v>1030.6919734692246</v>
      </c>
      <c r="J152" s="21">
        <f t="shared" si="103"/>
        <v>1401.0206315276246</v>
      </c>
      <c r="K152" s="21">
        <f t="shared" si="103"/>
        <v>1647.7311180240815</v>
      </c>
      <c r="L152" s="21">
        <f t="shared" si="103"/>
        <v>1910.2891835505234</v>
      </c>
      <c r="M152" s="21">
        <f t="shared" si="103"/>
        <v>2189.4020821570525</v>
      </c>
      <c r="N152" s="21">
        <f t="shared" si="103"/>
        <v>2485.7981576355978</v>
      </c>
      <c r="O152" s="21">
        <f t="shared" si="103"/>
        <v>2800.2294316403008</v>
      </c>
      <c r="P152" s="21">
        <f t="shared" si="103"/>
        <v>3133.4839295977608</v>
      </c>
      <c r="Q152" s="21">
        <f t="shared" si="103"/>
        <v>3486.3805402955231</v>
      </c>
      <c r="R152" s="21">
        <f t="shared" si="103"/>
        <v>3859.7740073143141</v>
      </c>
      <c r="S152" s="21">
        <f t="shared" si="103"/>
        <v>4254.5676062607517</v>
      </c>
      <c r="T152" s="21">
        <f t="shared" si="103"/>
        <v>4671.7104877328838</v>
      </c>
      <c r="U152" s="21">
        <f t="shared" si="103"/>
        <v>5112.2051207837521</v>
      </c>
      <c r="V152" s="21">
        <f t="shared" si="103"/>
        <v>5577.1143932281493</v>
      </c>
      <c r="W152" s="21">
        <f t="shared" si="103"/>
        <v>5773.5781618088513</v>
      </c>
      <c r="X152" s="21">
        <f t="shared" si="103"/>
        <v>5976.4198890789276</v>
      </c>
      <c r="Y152" s="21">
        <f t="shared" si="103"/>
        <v>6185.8929196992776</v>
      </c>
      <c r="Z152" s="21">
        <f t="shared" si="103"/>
        <v>6402.2668970442619</v>
      </c>
      <c r="AA152" s="21">
        <f t="shared" si="103"/>
        <v>6622.3191485538146</v>
      </c>
      <c r="AB152" s="69"/>
      <c r="AC152" s="27" t="s">
        <v>648</v>
      </c>
    </row>
    <row r="153" spans="1:29" s="27" customFormat="1" ht="11.6">
      <c r="A153" s="197" t="s">
        <v>90</v>
      </c>
      <c r="B153" s="236" t="s">
        <v>55</v>
      </c>
      <c r="C153" s="230" t="s">
        <v>47</v>
      </c>
      <c r="D153" s="230" t="s">
        <v>47</v>
      </c>
      <c r="E153" s="230" t="s">
        <v>47</v>
      </c>
      <c r="F153" s="230" t="s">
        <v>47</v>
      </c>
      <c r="G153" s="21">
        <f>'Main calculations'!G226*G60/100</f>
        <v>145.87323573047249</v>
      </c>
      <c r="H153" s="21">
        <f>'Main calculations'!H226*H60/100</f>
        <v>295.91536785062738</v>
      </c>
      <c r="I153" s="21">
        <f>'Main calculations'!I226*I60/100</f>
        <v>450.06326862150024</v>
      </c>
      <c r="J153" s="21">
        <f>'Main calculations'!J226*J60/100</f>
        <v>608.23492231271416</v>
      </c>
      <c r="K153" s="21">
        <f>'Main calculations'!K226*K60/100</f>
        <v>770.33349686529914</v>
      </c>
      <c r="L153" s="21">
        <f>'Main calculations'!L226*L60/100</f>
        <v>936.46039364872229</v>
      </c>
      <c r="M153" s="21">
        <f>'Main calculations'!M226*M60/100</f>
        <v>1106.611710652782</v>
      </c>
      <c r="N153" s="21">
        <f>'Main calculations'!N226*N60/100</f>
        <v>1280.7790896585234</v>
      </c>
      <c r="O153" s="21">
        <f>'Main calculations'!O226*O60/100</f>
        <v>1458.9511469753147</v>
      </c>
      <c r="P153" s="21">
        <f>'Main calculations'!P226*P60/100</f>
        <v>1641.1199485157435</v>
      </c>
      <c r="Q153" s="21">
        <f>'Main calculations'!Q226*Q60/100</f>
        <v>1827.2782331477824</v>
      </c>
      <c r="R153" s="21">
        <f>'Main calculations'!R226*R60/100</f>
        <v>2017.4215899033773</v>
      </c>
      <c r="S153" s="21">
        <f>'Main calculations'!S226*S60/100</f>
        <v>2211.5544749912801</v>
      </c>
      <c r="T153" s="21">
        <f>'Main calculations'!T226*T60/100</f>
        <v>2409.6879158316278</v>
      </c>
      <c r="U153" s="21">
        <f>'Main calculations'!U226*U60/100</f>
        <v>2611.8422537732549</v>
      </c>
      <c r="V153" s="21">
        <f>'Main calculations'!V226*V60/100</f>
        <v>2818.0494117836843</v>
      </c>
      <c r="W153" s="21">
        <f>'Main calculations'!W226*W60/100</f>
        <v>3028.3484438954606</v>
      </c>
      <c r="X153" s="21">
        <f>'Main calculations'!X226*X60/100</f>
        <v>3242.7868867720017</v>
      </c>
      <c r="Y153" s="21">
        <f>'Main calculations'!Y226*Y60/100</f>
        <v>3461.4164279107645</v>
      </c>
      <c r="Z153" s="21">
        <f>'Main calculations'!Z226*Z60/100</f>
        <v>3684.2983910778839</v>
      </c>
      <c r="AA153" s="21">
        <f>'Main calculations'!AA226*AA60/100</f>
        <v>3725.2506102078646</v>
      </c>
      <c r="AB153" s="69"/>
      <c r="AC153" s="27" t="s">
        <v>951</v>
      </c>
    </row>
    <row r="154" spans="1:29" s="27" customFormat="1" ht="11.6">
      <c r="A154" s="216" t="s">
        <v>644</v>
      </c>
      <c r="B154" s="216" t="s">
        <v>2</v>
      </c>
      <c r="C154" s="230" t="s">
        <v>47</v>
      </c>
      <c r="D154" s="230" t="s">
        <v>47</v>
      </c>
      <c r="E154" s="230" t="s">
        <v>47</v>
      </c>
      <c r="F154" s="230" t="s">
        <v>47</v>
      </c>
      <c r="G154" s="21">
        <f t="shared" ref="G154:AA154" si="104">G155-G158</f>
        <v>2482.3775724290181</v>
      </c>
      <c r="H154" s="21">
        <f t="shared" si="104"/>
        <v>2313.8303999363488</v>
      </c>
      <c r="I154" s="21">
        <f t="shared" si="104"/>
        <v>2290.1046260143235</v>
      </c>
      <c r="J154" s="21">
        <f t="shared" si="104"/>
        <v>2303.4202413114854</v>
      </c>
      <c r="K154" s="21">
        <f t="shared" si="104"/>
        <v>2138.984121460584</v>
      </c>
      <c r="L154" s="21">
        <f t="shared" si="104"/>
        <v>2039.903872610651</v>
      </c>
      <c r="M154" s="21">
        <f t="shared" si="104"/>
        <v>1978.4736245611755</v>
      </c>
      <c r="N154" s="21">
        <f t="shared" si="104"/>
        <v>1940.8484864461307</v>
      </c>
      <c r="O154" s="21">
        <f t="shared" si="104"/>
        <v>1919.3442065868435</v>
      </c>
      <c r="P154" s="21">
        <f t="shared" si="104"/>
        <v>1909.3570414714272</v>
      </c>
      <c r="Q154" s="21">
        <f t="shared" si="104"/>
        <v>1907.9637009026635</v>
      </c>
      <c r="R154" s="21">
        <f t="shared" si="104"/>
        <v>1913.2213249979022</v>
      </c>
      <c r="S154" s="21">
        <f t="shared" si="104"/>
        <v>1923.7905529220691</v>
      </c>
      <c r="T154" s="21">
        <f t="shared" si="104"/>
        <v>1938.7201375911743</v>
      </c>
      <c r="U154" s="21">
        <f t="shared" si="104"/>
        <v>1957.3177183263242</v>
      </c>
      <c r="V154" s="21">
        <f t="shared" si="104"/>
        <v>1979.0690574506693</v>
      </c>
      <c r="W154" s="21">
        <f t="shared" si="104"/>
        <v>1906.5105184468516</v>
      </c>
      <c r="X154" s="21">
        <f t="shared" si="104"/>
        <v>1842.9887925900957</v>
      </c>
      <c r="Y154" s="21">
        <f t="shared" si="104"/>
        <v>1787.0987350207233</v>
      </c>
      <c r="Z154" s="21">
        <f t="shared" si="104"/>
        <v>1737.7167149513111</v>
      </c>
      <c r="AA154" s="21">
        <f t="shared" si="104"/>
        <v>1777.6841993951912</v>
      </c>
      <c r="AB154" s="69"/>
      <c r="AC154" s="27" t="s">
        <v>653</v>
      </c>
    </row>
    <row r="155" spans="1:29" s="27" customFormat="1" ht="11.6">
      <c r="A155" s="216" t="s">
        <v>864</v>
      </c>
      <c r="B155" s="216" t="s">
        <v>2</v>
      </c>
      <c r="C155" s="230" t="s">
        <v>47</v>
      </c>
      <c r="D155" s="230" t="s">
        <v>47</v>
      </c>
      <c r="E155" s="230" t="s">
        <v>47</v>
      </c>
      <c r="F155" s="230" t="s">
        <v>47</v>
      </c>
      <c r="G155" s="21">
        <f t="shared" ref="G155:AA155" si="105">(G157*G61/100)</f>
        <v>3970.2379470710162</v>
      </c>
      <c r="H155" s="21">
        <f t="shared" si="105"/>
        <v>3835.9115631951122</v>
      </c>
      <c r="I155" s="21">
        <f t="shared" si="105"/>
        <v>3847.1936560280387</v>
      </c>
      <c r="J155" s="21">
        <f t="shared" si="105"/>
        <v>3896.3223190155159</v>
      </c>
      <c r="K155" s="21">
        <f t="shared" si="105"/>
        <v>3768.5229469518072</v>
      </c>
      <c r="L155" s="21">
        <f t="shared" si="105"/>
        <v>3706.9220910881718</v>
      </c>
      <c r="M155" s="21">
        <f t="shared" si="105"/>
        <v>3683.8332620636793</v>
      </c>
      <c r="N155" s="21">
        <f t="shared" si="105"/>
        <v>3685.4313956111919</v>
      </c>
      <c r="O155" s="21">
        <f t="shared" si="105"/>
        <v>3704.052522662701</v>
      </c>
      <c r="P155" s="21">
        <f t="shared" si="105"/>
        <v>3735.1136488170291</v>
      </c>
      <c r="Q155" s="21">
        <f t="shared" si="105"/>
        <v>3775.7127102172144</v>
      </c>
      <c r="R155" s="21">
        <f t="shared" si="105"/>
        <v>3823.9285615266872</v>
      </c>
      <c r="S155" s="21">
        <f t="shared" si="105"/>
        <v>3878.444055891016</v>
      </c>
      <c r="T155" s="21">
        <f t="shared" si="105"/>
        <v>3938.3306711284067</v>
      </c>
      <c r="U155" s="21">
        <f t="shared" si="105"/>
        <v>4002.9192941349129</v>
      </c>
      <c r="V155" s="21">
        <f t="shared" si="105"/>
        <v>4071.7194695028552</v>
      </c>
      <c r="W155" s="21">
        <f t="shared" si="105"/>
        <v>4047.2918899762376</v>
      </c>
      <c r="X155" s="21">
        <f t="shared" si="105"/>
        <v>4033.0081356646574</v>
      </c>
      <c r="Y155" s="21">
        <f t="shared" si="105"/>
        <v>4027.4885229860001</v>
      </c>
      <c r="Z155" s="21">
        <f t="shared" si="105"/>
        <v>4029.6354680397885</v>
      </c>
      <c r="AA155" s="21">
        <f t="shared" si="105"/>
        <v>4122.3170838047035</v>
      </c>
      <c r="AB155" s="69"/>
      <c r="AC155" s="27" t="s">
        <v>654</v>
      </c>
    </row>
    <row r="156" spans="1:29" s="27" customFormat="1" ht="23.15">
      <c r="A156" s="197" t="s">
        <v>865</v>
      </c>
      <c r="B156" s="216" t="s">
        <v>2</v>
      </c>
      <c r="C156" s="198" t="s">
        <v>47</v>
      </c>
      <c r="D156" s="198" t="s">
        <v>47</v>
      </c>
      <c r="E156" s="198" t="s">
        <v>47</v>
      </c>
      <c r="F156" s="198" t="s">
        <v>47</v>
      </c>
      <c r="G156" s="21">
        <f t="shared" ref="G156:AA156" si="106">G157*G62/100</f>
        <v>3970.2379470710162</v>
      </c>
      <c r="H156" s="21">
        <f t="shared" si="106"/>
        <v>4061.5534198536484</v>
      </c>
      <c r="I156" s="21">
        <f t="shared" si="106"/>
        <v>4154.9691485102821</v>
      </c>
      <c r="J156" s="21">
        <f t="shared" si="106"/>
        <v>4250.5334389260179</v>
      </c>
      <c r="K156" s="21">
        <f t="shared" si="106"/>
        <v>4348.2957080213164</v>
      </c>
      <c r="L156" s="21">
        <f t="shared" si="106"/>
        <v>4448.3065093058067</v>
      </c>
      <c r="M156" s="21">
        <f t="shared" si="106"/>
        <v>4550.6175590198391</v>
      </c>
      <c r="N156" s="21">
        <f t="shared" si="106"/>
        <v>4655.2817628772946</v>
      </c>
      <c r="O156" s="21">
        <f t="shared" si="106"/>
        <v>4762.353243423473</v>
      </c>
      <c r="P156" s="21">
        <f t="shared" si="106"/>
        <v>4871.8873680222123</v>
      </c>
      <c r="Q156" s="21">
        <f t="shared" si="106"/>
        <v>4983.9407774867232</v>
      </c>
      <c r="R156" s="21">
        <f t="shared" si="106"/>
        <v>5098.571415368916</v>
      </c>
      <c r="S156" s="21">
        <f t="shared" si="106"/>
        <v>5215.8385579224005</v>
      </c>
      <c r="T156" s="21">
        <f t="shared" si="106"/>
        <v>5335.8028447546149</v>
      </c>
      <c r="U156" s="21">
        <f t="shared" si="106"/>
        <v>5458.5263101839719</v>
      </c>
      <c r="V156" s="21">
        <f t="shared" si="106"/>
        <v>5584.0724153182018</v>
      </c>
      <c r="W156" s="21">
        <f t="shared" si="106"/>
        <v>5712.5060808705202</v>
      </c>
      <c r="X156" s="21">
        <f t="shared" si="106"/>
        <v>5843.8937207305407</v>
      </c>
      <c r="Y156" s="21">
        <f t="shared" si="106"/>
        <v>5978.3032763073434</v>
      </c>
      <c r="Z156" s="21">
        <f t="shared" si="106"/>
        <v>6115.8042516624109</v>
      </c>
      <c r="AA156" s="21">
        <f t="shared" si="106"/>
        <v>6256.4677494506459</v>
      </c>
      <c r="AB156" s="69"/>
      <c r="AC156" s="27" t="s">
        <v>649</v>
      </c>
    </row>
    <row r="157" spans="1:29" s="27" customFormat="1" ht="11.6">
      <c r="A157" s="216" t="s">
        <v>866</v>
      </c>
      <c r="B157" s="216" t="s">
        <v>2</v>
      </c>
      <c r="C157" s="198" t="s">
        <v>47</v>
      </c>
      <c r="D157" s="198" t="s">
        <v>47</v>
      </c>
      <c r="E157" s="198" t="s">
        <v>47</v>
      </c>
      <c r="F157" s="198" t="s">
        <v>47</v>
      </c>
      <c r="G157" s="21">
        <f>AVERAGE('Tables reported in Inquiry'!$C$69,'Tables reported in Inquiry'!$F$69,'Tables reported in Inquiry'!$G$69)*((1+'Main calculations'!$C$240/100)^(G151-2016))</f>
        <v>8822.7509934911468</v>
      </c>
      <c r="H157" s="21">
        <f>AVERAGE('Tables reported in Inquiry'!$C$69,'Tables reported in Inquiry'!$F$69,'Tables reported in Inquiry'!$G$69)*((1+'Main calculations'!$C$240/100)^(H151-2016))</f>
        <v>9025.6742663414407</v>
      </c>
      <c r="I157" s="21">
        <f>AVERAGE('Tables reported in Inquiry'!$C$69,'Tables reported in Inquiry'!$F$69,'Tables reported in Inquiry'!$G$69)*((1+'Main calculations'!$C$240/100)^(I151-2016))</f>
        <v>9233.264774467294</v>
      </c>
      <c r="J157" s="21">
        <f>AVERAGE('Tables reported in Inquiry'!$C$69,'Tables reported in Inquiry'!$F$69,'Tables reported in Inquiry'!$G$69)*((1+'Main calculations'!$C$240/100)^(J151-2016))</f>
        <v>9445.6298642800393</v>
      </c>
      <c r="K157" s="21">
        <f>AVERAGE('Tables reported in Inquiry'!$C$69,'Tables reported in Inquiry'!$F$69,'Tables reported in Inquiry'!$G$69)*((1+'Main calculations'!$C$240/100)^(K151-2016))</f>
        <v>9662.8793511584809</v>
      </c>
      <c r="L157" s="21">
        <f>AVERAGE('Tables reported in Inquiry'!$C$69,'Tables reported in Inquiry'!$F$69,'Tables reported in Inquiry'!$G$69)*((1+'Main calculations'!$C$240/100)^(L151-2016))</f>
        <v>9885.1255762351248</v>
      </c>
      <c r="M157" s="21">
        <f>AVERAGE('Tables reported in Inquiry'!$C$69,'Tables reported in Inquiry'!$F$69,'Tables reported in Inquiry'!$G$69)*((1+'Main calculations'!$C$240/100)^(M151-2016))</f>
        <v>10112.48346448853</v>
      </c>
      <c r="N157" s="21">
        <f>AVERAGE('Tables reported in Inquiry'!$C$69,'Tables reported in Inquiry'!$F$69,'Tables reported in Inquiry'!$G$69)*((1+'Main calculations'!$C$240/100)^(N151-2016))</f>
        <v>10345.070584171766</v>
      </c>
      <c r="O157" s="21">
        <f>AVERAGE('Tables reported in Inquiry'!$C$69,'Tables reported in Inquiry'!$F$69,'Tables reported in Inquiry'!$G$69)*((1+'Main calculations'!$C$240/100)^(O151-2016))</f>
        <v>10583.007207607718</v>
      </c>
      <c r="P157" s="21">
        <f>AVERAGE('Tables reported in Inquiry'!$C$69,'Tables reported in Inquiry'!$F$69,'Tables reported in Inquiry'!$G$69)*((1+'Main calculations'!$C$240/100)^(P151-2016))</f>
        <v>10826.416373382694</v>
      </c>
      <c r="Q157" s="21">
        <f>AVERAGE('Tables reported in Inquiry'!$C$69,'Tables reported in Inquiry'!$F$69,'Tables reported in Inquiry'!$G$69)*((1+'Main calculations'!$C$240/100)^(Q151-2016))</f>
        <v>11075.423949970495</v>
      </c>
      <c r="R157" s="21">
        <f>AVERAGE('Tables reported in Inquiry'!$C$69,'Tables reported in Inquiry'!$F$69,'Tables reported in Inquiry'!$G$69)*((1+'Main calculations'!$C$240/100)^(R151-2016))</f>
        <v>11330.158700819813</v>
      </c>
      <c r="S157" s="21">
        <f>AVERAGE('Tables reported in Inquiry'!$C$69,'Tables reported in Inquiry'!$F$69,'Tables reported in Inquiry'!$G$69)*((1+'Main calculations'!$C$240/100)^(S151-2016))</f>
        <v>11590.752350938668</v>
      </c>
      <c r="T157" s="21">
        <f>AVERAGE('Tables reported in Inquiry'!$C$69,'Tables reported in Inquiry'!$F$69,'Tables reported in Inquiry'!$G$69)*((1+'Main calculations'!$C$240/100)^(T151-2016))</f>
        <v>11857.339655010255</v>
      </c>
      <c r="U157" s="21">
        <f>AVERAGE('Tables reported in Inquiry'!$C$69,'Tables reported in Inquiry'!$F$69,'Tables reported in Inquiry'!$G$69)*((1+'Main calculations'!$C$240/100)^(U151-2016))</f>
        <v>12130.058467075492</v>
      </c>
      <c r="V157" s="21">
        <f>AVERAGE('Tables reported in Inquiry'!$C$69,'Tables reported in Inquiry'!$F$69,'Tables reported in Inquiry'!$G$69)*((1+'Main calculations'!$C$240/100)^(V151-2016))</f>
        <v>12409.049811818226</v>
      </c>
      <c r="W157" s="21">
        <f>AVERAGE('Tables reported in Inquiry'!$C$69,'Tables reported in Inquiry'!$F$69,'Tables reported in Inquiry'!$G$69)*((1+'Main calculations'!$C$240/100)^(W151-2016))</f>
        <v>12694.457957490044</v>
      </c>
      <c r="X157" s="21">
        <f>AVERAGE('Tables reported in Inquiry'!$C$69,'Tables reported in Inquiry'!$F$69,'Tables reported in Inquiry'!$G$69)*((1+'Main calculations'!$C$240/100)^(X151-2016))</f>
        <v>12986.430490512314</v>
      </c>
      <c r="Y157" s="21">
        <f>AVERAGE('Tables reported in Inquiry'!$C$69,'Tables reported in Inquiry'!$F$69,'Tables reported in Inquiry'!$G$69)*((1+'Main calculations'!$C$240/100)^(Y151-2016))</f>
        <v>13285.118391794096</v>
      </c>
      <c r="Z157" s="21">
        <f>AVERAGE('Tables reported in Inquiry'!$C$69,'Tables reported in Inquiry'!$F$69,'Tables reported in Inquiry'!$G$69)*((1+'Main calculations'!$C$240/100)^(Z151-2016))</f>
        <v>13590.676114805357</v>
      </c>
      <c r="AA157" s="21">
        <f>AVERAGE('Tables reported in Inquiry'!$C$69,'Tables reported in Inquiry'!$F$69,'Tables reported in Inquiry'!$G$69)*((1+'Main calculations'!$C$240/100)^(AA151-2016))</f>
        <v>13903.26166544588</v>
      </c>
      <c r="AB157" s="69"/>
      <c r="AC157" s="27" t="s">
        <v>682</v>
      </c>
    </row>
    <row r="158" spans="1:29" s="27" customFormat="1" ht="12" thickBot="1">
      <c r="A158" s="234" t="s">
        <v>867</v>
      </c>
      <c r="B158" s="234" t="s">
        <v>2</v>
      </c>
      <c r="C158" s="235" t="s">
        <v>47</v>
      </c>
      <c r="D158" s="235" t="s">
        <v>47</v>
      </c>
      <c r="E158" s="235" t="s">
        <v>47</v>
      </c>
      <c r="F158" s="235" t="s">
        <v>47</v>
      </c>
      <c r="G158" s="22">
        <f>AVERAGE('Tables reported in Inquiry'!$E$68,'Tables reported in Inquiry'!$F$68)*((1+'Main calculations'!$C$240/100)^(G151-2016))</f>
        <v>1487.8603746419979</v>
      </c>
      <c r="H158" s="22">
        <f>AVERAGE('Tables reported in Inquiry'!$E$68,'Tables reported in Inquiry'!$F$68)*((1+'Main calculations'!$C$240/100)^(H151-2016))</f>
        <v>1522.0811632587636</v>
      </c>
      <c r="I158" s="22">
        <f>AVERAGE('Tables reported in Inquiry'!$E$68,'Tables reported in Inquiry'!$F$68)*((1+'Main calculations'!$C$240/100)^(I151-2016))</f>
        <v>1557.0890300137153</v>
      </c>
      <c r="J158" s="22">
        <f>AVERAGE('Tables reported in Inquiry'!$E$68,'Tables reported in Inquiry'!$F$68)*((1+'Main calculations'!$C$240/100)^(J151-2016))</f>
        <v>1592.9020777040303</v>
      </c>
      <c r="K158" s="22">
        <f>AVERAGE('Tables reported in Inquiry'!$E$68,'Tables reported in Inquiry'!$F$68)*((1+'Main calculations'!$C$240/100)^(K151-2016))</f>
        <v>1629.538825491223</v>
      </c>
      <c r="L158" s="22">
        <f>AVERAGE('Tables reported in Inquiry'!$E$68,'Tables reported in Inquiry'!$F$68)*((1+'Main calculations'!$C$240/100)^(L151-2016))</f>
        <v>1667.0182184775208</v>
      </c>
      <c r="M158" s="22">
        <f>AVERAGE('Tables reported in Inquiry'!$E$68,'Tables reported in Inquiry'!$F$68)*((1+'Main calculations'!$C$240/100)^(M151-2016))</f>
        <v>1705.3596375025038</v>
      </c>
      <c r="N158" s="22">
        <f>AVERAGE('Tables reported in Inquiry'!$E$68,'Tables reported in Inquiry'!$F$68)*((1+'Main calculations'!$C$240/100)^(N151-2016))</f>
        <v>1744.5829091650612</v>
      </c>
      <c r="O158" s="22">
        <f>AVERAGE('Tables reported in Inquiry'!$E$68,'Tables reported in Inquiry'!$F$68)*((1+'Main calculations'!$C$240/100)^(O151-2016))</f>
        <v>1784.7083160758575</v>
      </c>
      <c r="P158" s="22">
        <f>AVERAGE('Tables reported in Inquiry'!$E$68,'Tables reported in Inquiry'!$F$68)*((1+'Main calculations'!$C$240/100)^(P151-2016))</f>
        <v>1825.7566073456019</v>
      </c>
      <c r="Q158" s="22">
        <f>AVERAGE('Tables reported in Inquiry'!$E$68,'Tables reported in Inquiry'!$F$68)*((1+'Main calculations'!$C$240/100)^(Q151-2016))</f>
        <v>1867.7490093145509</v>
      </c>
      <c r="R158" s="22">
        <f>AVERAGE('Tables reported in Inquiry'!$E$68,'Tables reported in Inquiry'!$F$68)*((1+'Main calculations'!$C$240/100)^(R151-2016))</f>
        <v>1910.707236528785</v>
      </c>
      <c r="S158" s="22">
        <f>AVERAGE('Tables reported in Inquiry'!$E$68,'Tables reported in Inquiry'!$F$68)*((1+'Main calculations'!$C$240/100)^(S151-2016))</f>
        <v>1954.6535029689469</v>
      </c>
      <c r="T158" s="22">
        <f>AVERAGE('Tables reported in Inquiry'!$E$68,'Tables reported in Inquiry'!$F$68)*((1+'Main calculations'!$C$240/100)^(T151-2016))</f>
        <v>1999.6105335372324</v>
      </c>
      <c r="U158" s="22">
        <f>AVERAGE('Tables reported in Inquiry'!$E$68,'Tables reported in Inquiry'!$F$68)*((1+'Main calculations'!$C$240/100)^(U151-2016))</f>
        <v>2045.6015758085887</v>
      </c>
      <c r="V158" s="22">
        <f>AVERAGE('Tables reported in Inquiry'!$E$68,'Tables reported in Inquiry'!$F$68)*((1+'Main calculations'!$C$240/100)^(V151-2016))</f>
        <v>2092.6504120521859</v>
      </c>
      <c r="W158" s="22">
        <f>AVERAGE('Tables reported in Inquiry'!$E$68,'Tables reported in Inquiry'!$F$68)*((1+'Main calculations'!$C$240/100)^(W151-2016))</f>
        <v>2140.781371529386</v>
      </c>
      <c r="X158" s="22">
        <f>AVERAGE('Tables reported in Inquiry'!$E$68,'Tables reported in Inquiry'!$F$68)*((1+'Main calculations'!$C$240/100)^(X151-2016))</f>
        <v>2190.0193430745617</v>
      </c>
      <c r="Y158" s="22">
        <f>AVERAGE('Tables reported in Inquiry'!$E$68,'Tables reported in Inquiry'!$F$68)*((1+'Main calculations'!$C$240/100)^(Y151-2016))</f>
        <v>2240.3897879652768</v>
      </c>
      <c r="Z158" s="22">
        <f>AVERAGE('Tables reported in Inquiry'!$E$68,'Tables reported in Inquiry'!$F$68)*((1+'Main calculations'!$C$240/100)^(Z151-2016))</f>
        <v>2291.9187530884774</v>
      </c>
      <c r="AA158" s="22">
        <f>AVERAGE('Tables reported in Inquiry'!$E$68,'Tables reported in Inquiry'!$F$68)*((1+'Main calculations'!$C$240/100)^(AA151-2016))</f>
        <v>2344.6328844095124</v>
      </c>
      <c r="AB158" s="225"/>
      <c r="AC158" s="225" t="s">
        <v>683</v>
      </c>
    </row>
    <row r="159" spans="1:29" s="27" customFormat="1" ht="11.6">
      <c r="A159" s="26" t="s">
        <v>780</v>
      </c>
      <c r="B159" s="19"/>
      <c r="C159" s="19"/>
      <c r="D159" s="19"/>
      <c r="E159" s="19"/>
      <c r="F159" s="19"/>
      <c r="G159" s="53"/>
      <c r="H159" s="53"/>
      <c r="I159" s="53"/>
      <c r="J159" s="53"/>
      <c r="K159" s="53"/>
    </row>
    <row r="160" spans="1:29" s="27" customFormat="1" ht="11.6">
      <c r="A160" s="26"/>
      <c r="B160" s="19"/>
      <c r="C160" s="19"/>
      <c r="D160" s="19"/>
      <c r="E160" s="19"/>
      <c r="F160" s="19"/>
      <c r="G160" s="53"/>
      <c r="H160" s="53"/>
      <c r="I160" s="53"/>
      <c r="J160" s="53"/>
      <c r="K160" s="53"/>
    </row>
    <row r="161" spans="1:29" s="27" customFormat="1" ht="11.6">
      <c r="A161" s="27" t="s">
        <v>650</v>
      </c>
      <c r="B161" s="27">
        <v>8</v>
      </c>
      <c r="C161" s="27" t="s">
        <v>796</v>
      </c>
    </row>
    <row r="162" spans="1:29" s="27" customFormat="1" ht="12" thickBot="1">
      <c r="C162" s="27" t="s">
        <v>578</v>
      </c>
    </row>
    <row r="163" spans="1:29" s="27" customFormat="1" ht="12" thickBot="1">
      <c r="A163" s="14"/>
      <c r="B163" s="14" t="s">
        <v>91</v>
      </c>
      <c r="C163" s="15">
        <v>2016</v>
      </c>
      <c r="D163" s="15">
        <v>2017</v>
      </c>
      <c r="E163" s="15">
        <v>2018</v>
      </c>
      <c r="F163" s="15">
        <v>2019</v>
      </c>
      <c r="G163" s="15">
        <v>2020</v>
      </c>
      <c r="H163" s="15">
        <v>2021</v>
      </c>
      <c r="I163" s="15">
        <v>2022</v>
      </c>
      <c r="J163" s="15">
        <v>2023</v>
      </c>
      <c r="K163" s="15">
        <v>2024</v>
      </c>
      <c r="L163" s="15">
        <v>2025</v>
      </c>
      <c r="M163" s="15">
        <v>2026</v>
      </c>
      <c r="N163" s="15">
        <v>2027</v>
      </c>
      <c r="O163" s="15">
        <v>2028</v>
      </c>
      <c r="P163" s="15">
        <v>2029</v>
      </c>
      <c r="Q163" s="15">
        <v>2030</v>
      </c>
      <c r="R163" s="15">
        <v>2031</v>
      </c>
      <c r="S163" s="15">
        <v>2032</v>
      </c>
      <c r="T163" s="15">
        <v>2033</v>
      </c>
      <c r="U163" s="15">
        <v>2034</v>
      </c>
      <c r="V163" s="15">
        <v>2035</v>
      </c>
      <c r="W163" s="15">
        <v>2036</v>
      </c>
      <c r="X163" s="15">
        <v>2037</v>
      </c>
      <c r="Y163" s="15">
        <v>2038</v>
      </c>
      <c r="Z163" s="15">
        <v>2039</v>
      </c>
      <c r="AA163" s="15">
        <v>2040</v>
      </c>
      <c r="AB163" s="292"/>
      <c r="AC163" s="292" t="s">
        <v>828</v>
      </c>
    </row>
    <row r="164" spans="1:29" s="27" customFormat="1" ht="11.6">
      <c r="A164" s="27" t="s">
        <v>679</v>
      </c>
      <c r="B164" s="216" t="s">
        <v>15</v>
      </c>
      <c r="C164" s="246" t="s">
        <v>47</v>
      </c>
      <c r="D164" s="246" t="s">
        <v>47</v>
      </c>
      <c r="E164" s="246" t="s">
        <v>47</v>
      </c>
      <c r="F164" s="246" t="s">
        <v>47</v>
      </c>
      <c r="G164" s="53">
        <f t="shared" ref="G164:AA164" si="107">G165*G153/1000</f>
        <v>467.29322342454918</v>
      </c>
      <c r="H164" s="53">
        <f t="shared" si="107"/>
        <v>915.86916275800945</v>
      </c>
      <c r="I164" s="53">
        <f t="shared" si="107"/>
        <v>1397.0596465682397</v>
      </c>
      <c r="J164" s="53">
        <f t="shared" si="107"/>
        <v>1912.1570484484066</v>
      </c>
      <c r="K164" s="53">
        <f t="shared" si="107"/>
        <v>2342.3256680942136</v>
      </c>
      <c r="L164" s="53">
        <f t="shared" si="107"/>
        <v>2800.9167661745787</v>
      </c>
      <c r="M164" s="53">
        <f t="shared" si="107"/>
        <v>3289.217235195078</v>
      </c>
      <c r="N164" s="53">
        <f t="shared" si="107"/>
        <v>3808.5520063695644</v>
      </c>
      <c r="O164" s="53">
        <f t="shared" si="107"/>
        <v>4360.2884108597227</v>
      </c>
      <c r="P164" s="53">
        <f t="shared" si="107"/>
        <v>4945.8560933101544</v>
      </c>
      <c r="Q164" s="53">
        <f t="shared" si="107"/>
        <v>5566.740201023511</v>
      </c>
      <c r="R164" s="53">
        <f t="shared" si="107"/>
        <v>6224.4898771519966</v>
      </c>
      <c r="S164" s="53">
        <f t="shared" si="107"/>
        <v>6920.7395134119533</v>
      </c>
      <c r="T164" s="53">
        <f t="shared" si="107"/>
        <v>7657.2055946937971</v>
      </c>
      <c r="U164" s="53">
        <f t="shared" si="107"/>
        <v>8435.6996437735343</v>
      </c>
      <c r="V164" s="53">
        <f t="shared" si="107"/>
        <v>9258.14083460252</v>
      </c>
      <c r="W164" s="53">
        <f t="shared" si="107"/>
        <v>9889.3489458637105</v>
      </c>
      <c r="X164" s="53">
        <f t="shared" si="107"/>
        <v>10552.244289943495</v>
      </c>
      <c r="Y164" s="53">
        <f t="shared" si="107"/>
        <v>11248.263786439344</v>
      </c>
      <c r="Z164" s="53">
        <f t="shared" si="107"/>
        <v>11978.926147988934</v>
      </c>
      <c r="AA164" s="53">
        <f t="shared" si="107"/>
        <v>12390.653698858237</v>
      </c>
      <c r="AB164" s="38"/>
      <c r="AC164" s="27" t="s">
        <v>680</v>
      </c>
    </row>
    <row r="165" spans="1:29" s="27" customFormat="1" ht="11.6">
      <c r="A165" s="27" t="s">
        <v>868</v>
      </c>
      <c r="B165" s="216" t="s">
        <v>2</v>
      </c>
      <c r="C165" s="246" t="s">
        <v>47</v>
      </c>
      <c r="D165" s="246" t="s">
        <v>47</v>
      </c>
      <c r="E165" s="246" t="s">
        <v>47</v>
      </c>
      <c r="F165" s="246" t="s">
        <v>47</v>
      </c>
      <c r="G165" s="53">
        <f t="shared" ref="G165:AA165" si="108">G166*G61/100</f>
        <v>3203.4198808612086</v>
      </c>
      <c r="H165" s="53">
        <f t="shared" si="108"/>
        <v>3095.0375082254036</v>
      </c>
      <c r="I165" s="53">
        <f t="shared" si="108"/>
        <v>3104.1405597201847</v>
      </c>
      <c r="J165" s="53">
        <f t="shared" si="108"/>
        <v>3143.7804346678108</v>
      </c>
      <c r="K165" s="53">
        <f t="shared" si="108"/>
        <v>3040.6644364107065</v>
      </c>
      <c r="L165" s="53">
        <f t="shared" si="108"/>
        <v>2990.9612677386085</v>
      </c>
      <c r="M165" s="53">
        <f t="shared" si="108"/>
        <v>2972.3318518424076</v>
      </c>
      <c r="N165" s="53">
        <f t="shared" si="108"/>
        <v>2973.6213193369563</v>
      </c>
      <c r="O165" s="53">
        <f t="shared" si="108"/>
        <v>2988.6459323188692</v>
      </c>
      <c r="P165" s="53">
        <f t="shared" si="108"/>
        <v>3013.7078632084567</v>
      </c>
      <c r="Q165" s="53">
        <f t="shared" si="108"/>
        <v>3046.4655573737668</v>
      </c>
      <c r="R165" s="53">
        <f t="shared" si="108"/>
        <v>3085.3689225414278</v>
      </c>
      <c r="S165" s="53">
        <f t="shared" si="108"/>
        <v>3129.3552076935571</v>
      </c>
      <c r="T165" s="53">
        <f t="shared" si="108"/>
        <v>3177.6752268980663</v>
      </c>
      <c r="U165" s="53">
        <f t="shared" si="108"/>
        <v>3229.7891006191953</v>
      </c>
      <c r="V165" s="53">
        <f t="shared" si="108"/>
        <v>3285.301100786086</v>
      </c>
      <c r="W165" s="53">
        <f t="shared" si="108"/>
        <v>3265.591502787152</v>
      </c>
      <c r="X165" s="53">
        <f t="shared" si="108"/>
        <v>3254.066535481651</v>
      </c>
      <c r="Y165" s="53">
        <f t="shared" si="108"/>
        <v>3249.6129895669765</v>
      </c>
      <c r="Z165" s="53">
        <f t="shared" si="108"/>
        <v>3251.345270241361</v>
      </c>
      <c r="AA165" s="53">
        <f t="shared" si="108"/>
        <v>3326.1262114569126</v>
      </c>
      <c r="AC165" s="27" t="s">
        <v>681</v>
      </c>
    </row>
    <row r="166" spans="1:29" s="27" customFormat="1" ht="11.6">
      <c r="A166" s="27" t="s">
        <v>869</v>
      </c>
      <c r="B166" s="233" t="s">
        <v>2</v>
      </c>
      <c r="C166" s="53">
        <f>C168/'Main calculations'!C226*1000</f>
        <v>6499.7824053917739</v>
      </c>
      <c r="D166" s="53">
        <f>$C166*((1+'Main calculations'!$C$240/100)^(D151-2016))</f>
        <v>6649.2774007157841</v>
      </c>
      <c r="E166" s="53">
        <f>$C166*((1+'Main calculations'!$C$240/100)^(E151-2016))</f>
        <v>6802.210780932247</v>
      </c>
      <c r="F166" s="53">
        <f>$C166*((1+'Main calculations'!$C$240/100)^(F151-2016))</f>
        <v>6958.6616288936875</v>
      </c>
      <c r="G166" s="53">
        <f>$C166*((1+'Main calculations'!$C$240/100)^(G151-2016))</f>
        <v>7118.7108463582417</v>
      </c>
      <c r="H166" s="53">
        <f>$C166*((1+'Main calculations'!$C$240/100)^(H151-2016))</f>
        <v>7282.44119582448</v>
      </c>
      <c r="I166" s="53">
        <f>$C166*((1+'Main calculations'!$C$240/100)^(I151-2016))</f>
        <v>7449.9373433284436</v>
      </c>
      <c r="J166" s="53">
        <f>$C166*((1+'Main calculations'!$C$240/100)^(J151-2016))</f>
        <v>7621.2859022249959</v>
      </c>
      <c r="K166" s="53">
        <f>$C166*((1+'Main calculations'!$C$240/100)^(K151-2016))</f>
        <v>7796.5754779761701</v>
      </c>
      <c r="L166" s="53">
        <f>$C166*((1+'Main calculations'!$C$240/100)^(L151-2016))</f>
        <v>7975.8967139696215</v>
      </c>
      <c r="M166" s="53">
        <f>$C166*((1+'Main calculations'!$C$240/100)^(M151-2016))</f>
        <v>8159.3423383909221</v>
      </c>
      <c r="N166" s="53">
        <f>$C166*((1+'Main calculations'!$C$240/100)^(N151-2016))</f>
        <v>8347.0072121739122</v>
      </c>
      <c r="O166" s="53">
        <f>$C166*((1+'Main calculations'!$C$240/100)^(O151-2016))</f>
        <v>8538.9883780539112</v>
      </c>
      <c r="P166" s="53">
        <f>$C166*((1+'Main calculations'!$C$240/100)^(P151-2016))</f>
        <v>8735.38511074915</v>
      </c>
      <c r="Q166" s="53">
        <f>$C166*((1+'Main calculations'!$C$240/100)^(Q151-2016))</f>
        <v>8936.2989682963816</v>
      </c>
      <c r="R166" s="53">
        <f>$C166*((1+'Main calculations'!$C$240/100)^(R151-2016))</f>
        <v>9141.8338445671943</v>
      </c>
      <c r="S166" s="53">
        <f>$C166*((1+'Main calculations'!$C$240/100)^(S151-2016))</f>
        <v>9352.0960229922403</v>
      </c>
      <c r="T166" s="53">
        <f>$C166*((1+'Main calculations'!$C$240/100)^(T151-2016))</f>
        <v>9567.1942315210599</v>
      </c>
      <c r="U166" s="53">
        <f>$C166*((1+'Main calculations'!$C$240/100)^(U151-2016))</f>
        <v>9787.2396988460459</v>
      </c>
      <c r="V166" s="53">
        <f>$C166*((1+'Main calculations'!$C$240/100)^(V151-2016))</f>
        <v>10012.346211919501</v>
      </c>
      <c r="W166" s="53">
        <f>$C166*((1+'Main calculations'!$C$240/100)^(W151-2016))</f>
        <v>10242.63017479365</v>
      </c>
      <c r="X166" s="53">
        <f>$C166*((1+'Main calculations'!$C$240/100)^(X151-2016))</f>
        <v>10478.210668813903</v>
      </c>
      <c r="Y166" s="53">
        <f>$C166*((1+'Main calculations'!$C$240/100)^(Y151-2016))</f>
        <v>10719.209514196622</v>
      </c>
      <c r="Z166" s="53">
        <f>$C166*((1+'Main calculations'!$C$240/100)^(Z151-2016))</f>
        <v>10965.751333023141</v>
      </c>
      <c r="AA166" s="53">
        <f>$C166*((1+'Main calculations'!$C$240/100)^(AA151-2016))</f>
        <v>11217.963613682674</v>
      </c>
      <c r="AC166" s="27" t="s">
        <v>952</v>
      </c>
    </row>
    <row r="167" spans="1:29" s="27" customFormat="1" ht="11.6">
      <c r="A167" s="26"/>
      <c r="B167" s="19"/>
      <c r="C167" s="19"/>
      <c r="D167" s="19"/>
      <c r="E167" s="19"/>
      <c r="F167" s="19"/>
      <c r="G167" s="53"/>
      <c r="H167" s="53"/>
      <c r="I167" s="53"/>
      <c r="J167" s="53"/>
      <c r="K167" s="53"/>
    </row>
    <row r="168" spans="1:29" s="27" customFormat="1" ht="23.15">
      <c r="A168" s="220" t="s">
        <v>933</v>
      </c>
      <c r="B168" s="216" t="s">
        <v>15</v>
      </c>
      <c r="C168" s="53">
        <f>C169*'Inputs into calculations'!D149/100</f>
        <v>17864.001962978749</v>
      </c>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C168" s="27" t="s">
        <v>939</v>
      </c>
    </row>
    <row r="169" spans="1:29" s="27" customFormat="1" ht="12" thickBot="1">
      <c r="A169" s="225" t="s">
        <v>932</v>
      </c>
      <c r="B169" s="358" t="s">
        <v>15</v>
      </c>
      <c r="C169" s="226">
        <f>'AIHW Health spending &amp; PC ests'!E31</f>
        <v>77948.635599999994</v>
      </c>
      <c r="D169" s="386"/>
      <c r="E169" s="387"/>
      <c r="F169" s="387"/>
      <c r="G169" s="226"/>
      <c r="H169" s="226"/>
      <c r="I169" s="226"/>
      <c r="J169" s="226"/>
      <c r="K169" s="226"/>
      <c r="L169" s="225"/>
      <c r="M169" s="225"/>
      <c r="N169" s="225"/>
      <c r="O169" s="225"/>
      <c r="P169" s="225"/>
      <c r="Q169" s="225"/>
      <c r="R169" s="225"/>
      <c r="S169" s="225"/>
      <c r="T169" s="225"/>
      <c r="U169" s="225"/>
      <c r="V169" s="225"/>
      <c r="W169" s="225"/>
      <c r="X169" s="225"/>
      <c r="Y169" s="225"/>
      <c r="Z169" s="225"/>
      <c r="AA169" s="225"/>
      <c r="AB169" s="225"/>
      <c r="AC169" s="225" t="s">
        <v>941</v>
      </c>
    </row>
    <row r="170" spans="1:29" s="27" customFormat="1" ht="11.6">
      <c r="A170" s="26" t="s">
        <v>940</v>
      </c>
      <c r="B170" s="19"/>
      <c r="C170" s="19"/>
      <c r="D170" s="19"/>
      <c r="E170" s="19"/>
      <c r="F170" s="19"/>
      <c r="G170" s="53"/>
      <c r="H170" s="53"/>
      <c r="I170" s="53"/>
      <c r="J170" s="53"/>
      <c r="K170" s="53"/>
    </row>
    <row r="171" spans="1:29" s="27" customFormat="1" ht="11.6">
      <c r="A171" s="39"/>
      <c r="B171" s="241"/>
      <c r="C171" s="323"/>
      <c r="D171" s="380"/>
      <c r="E171" s="378"/>
      <c r="F171" s="378"/>
      <c r="G171" s="323"/>
      <c r="H171" s="323"/>
      <c r="I171" s="323"/>
      <c r="J171" s="323"/>
      <c r="K171" s="323"/>
      <c r="L171" s="39"/>
      <c r="M171" s="39"/>
      <c r="N171" s="39"/>
      <c r="O171" s="39"/>
      <c r="P171" s="39"/>
      <c r="Q171" s="39"/>
      <c r="R171" s="39"/>
      <c r="S171" s="39"/>
      <c r="T171" s="39"/>
      <c r="U171" s="39"/>
      <c r="V171" s="39"/>
      <c r="W171" s="39"/>
      <c r="X171" s="39"/>
      <c r="Y171" s="39"/>
      <c r="Z171" s="39"/>
      <c r="AA171" s="39"/>
      <c r="AB171" s="39"/>
      <c r="AC171" s="39"/>
    </row>
    <row r="172" spans="1:29" s="27" customFormat="1" ht="11.6">
      <c r="B172" s="26"/>
      <c r="C172" s="26"/>
      <c r="D172" s="26"/>
    </row>
    <row r="173" spans="1:29" s="27" customFormat="1" ht="11.6">
      <c r="A173" s="27" t="s">
        <v>650</v>
      </c>
      <c r="B173" s="27">
        <v>9</v>
      </c>
      <c r="C173" s="27" t="s">
        <v>684</v>
      </c>
    </row>
    <row r="174" spans="1:29" s="27" customFormat="1" ht="12" thickBot="1">
      <c r="C174" s="27" t="s">
        <v>578</v>
      </c>
    </row>
    <row r="175" spans="1:29" s="27" customFormat="1" ht="12" thickBot="1">
      <c r="A175" s="14"/>
      <c r="B175" s="14" t="s">
        <v>91</v>
      </c>
      <c r="C175" s="15">
        <v>2016</v>
      </c>
      <c r="D175" s="15">
        <v>2017</v>
      </c>
      <c r="E175" s="15">
        <v>2018</v>
      </c>
      <c r="F175" s="15">
        <v>2019</v>
      </c>
      <c r="G175" s="15">
        <v>2020</v>
      </c>
      <c r="H175" s="15">
        <v>2021</v>
      </c>
      <c r="I175" s="15">
        <v>2022</v>
      </c>
      <c r="J175" s="15">
        <v>2023</v>
      </c>
      <c r="K175" s="15">
        <v>2024</v>
      </c>
      <c r="L175" s="15">
        <v>2025</v>
      </c>
      <c r="M175" s="15">
        <v>2026</v>
      </c>
      <c r="N175" s="15">
        <v>2027</v>
      </c>
      <c r="O175" s="15">
        <v>2028</v>
      </c>
      <c r="P175" s="15">
        <v>2029</v>
      </c>
      <c r="Q175" s="15">
        <v>2030</v>
      </c>
      <c r="R175" s="15">
        <v>2031</v>
      </c>
      <c r="S175" s="15">
        <v>2032</v>
      </c>
      <c r="T175" s="15">
        <v>2033</v>
      </c>
      <c r="U175" s="15">
        <v>2034</v>
      </c>
      <c r="V175" s="15">
        <v>2035</v>
      </c>
      <c r="W175" s="15">
        <v>2036</v>
      </c>
      <c r="X175" s="15">
        <v>2037</v>
      </c>
      <c r="Y175" s="15">
        <v>2038</v>
      </c>
      <c r="Z175" s="15">
        <v>2039</v>
      </c>
      <c r="AA175" s="15">
        <v>2040</v>
      </c>
      <c r="AB175" s="292"/>
      <c r="AC175" s="292" t="s">
        <v>828</v>
      </c>
    </row>
    <row r="176" spans="1:29" s="27" customFormat="1" ht="11.6">
      <c r="A176" s="197" t="s">
        <v>196</v>
      </c>
      <c r="B176" s="216" t="s">
        <v>15</v>
      </c>
      <c r="C176" s="230" t="s">
        <v>47</v>
      </c>
      <c r="D176" s="230" t="s">
        <v>47</v>
      </c>
      <c r="E176" s="230" t="s">
        <v>47</v>
      </c>
      <c r="F176" s="230" t="s">
        <v>47</v>
      </c>
      <c r="G176" s="21">
        <f t="shared" ref="G176:AA176" si="109">G177*G178/1000000</f>
        <v>35.522407163405894</v>
      </c>
      <c r="H176" s="21">
        <f t="shared" si="109"/>
        <v>71.221307195194768</v>
      </c>
      <c r="I176" s="21">
        <f t="shared" si="109"/>
        <v>111.13607411163163</v>
      </c>
      <c r="J176" s="21">
        <f t="shared" si="109"/>
        <v>155.60633018976233</v>
      </c>
      <c r="K176" s="21">
        <f t="shared" si="109"/>
        <v>194.99100529261824</v>
      </c>
      <c r="L176" s="21">
        <f t="shared" si="109"/>
        <v>238.52346130841295</v>
      </c>
      <c r="M176" s="21">
        <f t="shared" si="109"/>
        <v>286.54118718885172</v>
      </c>
      <c r="N176" s="21">
        <f t="shared" si="109"/>
        <v>339.40480621678961</v>
      </c>
      <c r="O176" s="21">
        <f t="shared" si="109"/>
        <v>397.49979879949166</v>
      </c>
      <c r="P176" s="21">
        <f t="shared" si="109"/>
        <v>461.23979595385953</v>
      </c>
      <c r="Q176" s="21">
        <f t="shared" si="109"/>
        <v>531.0676508074306</v>
      </c>
      <c r="R176" s="21">
        <f t="shared" si="109"/>
        <v>607.45800352629487</v>
      </c>
      <c r="S176" s="21">
        <f t="shared" si="109"/>
        <v>690.9213227047004</v>
      </c>
      <c r="T176" s="21">
        <f t="shared" si="109"/>
        <v>782.00584541563046</v>
      </c>
      <c r="U176" s="21">
        <f t="shared" si="109"/>
        <v>881.30127511472881</v>
      </c>
      <c r="V176" s="21">
        <f t="shared" si="109"/>
        <v>989.44275381114676</v>
      </c>
      <c r="W176" s="21">
        <f t="shared" si="109"/>
        <v>1081.1804634102616</v>
      </c>
      <c r="X176" s="21">
        <f t="shared" si="109"/>
        <v>1180.1546557771476</v>
      </c>
      <c r="Y176" s="21">
        <f t="shared" si="109"/>
        <v>1286.8951933952967</v>
      </c>
      <c r="Z176" s="21">
        <f t="shared" si="109"/>
        <v>1401.9714594507777</v>
      </c>
      <c r="AA176" s="21">
        <f t="shared" si="109"/>
        <v>1483.4711453251257</v>
      </c>
      <c r="AC176" s="27" t="s">
        <v>655</v>
      </c>
    </row>
    <row r="177" spans="1:29" s="27" customFormat="1" ht="11.6">
      <c r="A177" s="197" t="s">
        <v>652</v>
      </c>
      <c r="B177" s="216" t="s">
        <v>2</v>
      </c>
      <c r="C177" s="21">
        <f>AVERAGE(C189,D189)/100*AVERAGE(C188:D188)</f>
        <v>210000</v>
      </c>
      <c r="D177" s="21">
        <f>$C177*((1+'Main calculations'!$C$239/100)^(D175-2016))</f>
        <v>219765</v>
      </c>
      <c r="E177" s="21">
        <f>$C177*((1+'Main calculations'!$C$239/100)^(E175-2016))</f>
        <v>229984.07250000001</v>
      </c>
      <c r="F177" s="21">
        <f>$C177*((1+'Main calculations'!$C$239/100)^(F175-2016))</f>
        <v>240678.33187125</v>
      </c>
      <c r="G177" s="21">
        <f>$C177*((1+'Main calculations'!$C$239/100)^(G175-2016))</f>
        <v>251869.87430326312</v>
      </c>
      <c r="H177" s="21">
        <f>$C177*((1+'Main calculations'!$C$239/100)^(H175-2016))</f>
        <v>263581.82345836487</v>
      </c>
      <c r="I177" s="21">
        <f>$C177*((1+'Main calculations'!$C$239/100)^(I175-2016))</f>
        <v>275838.37824917882</v>
      </c>
      <c r="J177" s="21">
        <f>$C177*((1+'Main calculations'!$C$239/100)^(J175-2016))</f>
        <v>288664.86283776566</v>
      </c>
      <c r="K177" s="21">
        <f>$C177*((1+'Main calculations'!$C$239/100)^(K175-2016))</f>
        <v>302087.77895972173</v>
      </c>
      <c r="L177" s="21">
        <f>$C177*((1+'Main calculations'!$C$239/100)^(L175-2016))</f>
        <v>316134.86068134877</v>
      </c>
      <c r="M177" s="21">
        <f>$C177*((1+'Main calculations'!$C$239/100)^(M175-2016))</f>
        <v>330835.13170303148</v>
      </c>
      <c r="N177" s="21">
        <f>$C177*((1+'Main calculations'!$C$239/100)^(N175-2016))</f>
        <v>346218.96532722248</v>
      </c>
      <c r="O177" s="21">
        <f>$C177*((1+'Main calculations'!$C$239/100)^(O175-2016))</f>
        <v>362318.1472149383</v>
      </c>
      <c r="P177" s="21">
        <f>$C177*((1+'Main calculations'!$C$239/100)^(P175-2016))</f>
        <v>379165.94106043293</v>
      </c>
      <c r="Q177" s="21">
        <f>$C177*((1+'Main calculations'!$C$239/100)^(Q175-2016))</f>
        <v>396797.15731974307</v>
      </c>
      <c r="R177" s="21">
        <f>$C177*((1+'Main calculations'!$C$239/100)^(R175-2016))</f>
        <v>415248.22513511108</v>
      </c>
      <c r="S177" s="21">
        <f>$C177*((1+'Main calculations'!$C$239/100)^(S175-2016))</f>
        <v>434557.26760389382</v>
      </c>
      <c r="T177" s="21">
        <f>$C177*((1+'Main calculations'!$C$239/100)^(T175-2016))</f>
        <v>454764.18054747488</v>
      </c>
      <c r="U177" s="21">
        <f>$C177*((1+'Main calculations'!$C$239/100)^(U175-2016))</f>
        <v>475910.71494293248</v>
      </c>
      <c r="V177" s="21">
        <f>$C177*((1+'Main calculations'!$C$239/100)^(V175-2016))</f>
        <v>498040.56318777881</v>
      </c>
      <c r="W177" s="21">
        <f>$C177*((1+'Main calculations'!$C$239/100)^(W175-2016))</f>
        <v>521199.44937601045</v>
      </c>
      <c r="X177" s="21">
        <f>$C177*((1+'Main calculations'!$C$239/100)^(X175-2016))</f>
        <v>545435.22377199493</v>
      </c>
      <c r="Y177" s="21">
        <f>$C177*((1+'Main calculations'!$C$239/100)^(Y175-2016))</f>
        <v>570797.96167739283</v>
      </c>
      <c r="Z177" s="21">
        <f>$C177*((1+'Main calculations'!$C$239/100)^(Z175-2016))</f>
        <v>597340.06689539156</v>
      </c>
      <c r="AA177" s="21">
        <f>$C177*((1+'Main calculations'!$C$239/100)^(AA175-2016))</f>
        <v>625116.38000602729</v>
      </c>
      <c r="AC177" s="27" t="s">
        <v>970</v>
      </c>
    </row>
    <row r="178" spans="1:29" s="27" customFormat="1" ht="11.6">
      <c r="A178" s="241" t="s">
        <v>193</v>
      </c>
      <c r="B178" s="241" t="s">
        <v>661</v>
      </c>
      <c r="C178" s="230" t="s">
        <v>47</v>
      </c>
      <c r="D178" s="230" t="s">
        <v>47</v>
      </c>
      <c r="E178" s="230" t="s">
        <v>47</v>
      </c>
      <c r="F178" s="230" t="s">
        <v>47</v>
      </c>
      <c r="G178" s="190">
        <f t="shared" ref="G178:AA178" si="110">G179/365.25*G183</f>
        <v>141.03475956253209</v>
      </c>
      <c r="H178" s="190">
        <f t="shared" si="110"/>
        <v>270.20568512928895</v>
      </c>
      <c r="I178" s="190">
        <f t="shared" si="110"/>
        <v>402.90286948843925</v>
      </c>
      <c r="J178" s="190">
        <f t="shared" si="110"/>
        <v>539.05532062354121</v>
      </c>
      <c r="K178" s="190">
        <f t="shared" si="110"/>
        <v>645.47796658340485</v>
      </c>
      <c r="L178" s="190">
        <f t="shared" si="110"/>
        <v>754.49907926742378</v>
      </c>
      <c r="M178" s="190">
        <f t="shared" si="110"/>
        <v>866.11474940352025</v>
      </c>
      <c r="N178" s="190">
        <f t="shared" si="110"/>
        <v>980.31835401046681</v>
      </c>
      <c r="O178" s="190">
        <f t="shared" si="110"/>
        <v>1097.1015441953077</v>
      </c>
      <c r="P178" s="190">
        <f t="shared" si="110"/>
        <v>1216.4589326348416</v>
      </c>
      <c r="Q178" s="190">
        <f t="shared" si="110"/>
        <v>1338.3857243198217</v>
      </c>
      <c r="R178" s="190">
        <f t="shared" si="110"/>
        <v>1462.8792292336557</v>
      </c>
      <c r="S178" s="190">
        <f t="shared" si="110"/>
        <v>1589.9430850952574</v>
      </c>
      <c r="T178" s="190">
        <f t="shared" si="110"/>
        <v>1719.5854002269939</v>
      </c>
      <c r="U178" s="190">
        <f t="shared" si="110"/>
        <v>1851.8206197992572</v>
      </c>
      <c r="V178" s="190">
        <f t="shared" si="110"/>
        <v>1986.6710202841289</v>
      </c>
      <c r="W178" s="190">
        <f t="shared" si="110"/>
        <v>2074.4082993653788</v>
      </c>
      <c r="X178" s="190">
        <f t="shared" si="110"/>
        <v>2163.6935136233164</v>
      </c>
      <c r="Y178" s="190">
        <f t="shared" si="110"/>
        <v>2254.5546406884901</v>
      </c>
      <c r="Z178" s="190">
        <f t="shared" si="110"/>
        <v>2347.0239770410317</v>
      </c>
      <c r="AA178" s="190">
        <f t="shared" si="110"/>
        <v>2373.1119400691791</v>
      </c>
      <c r="AC178" s="27" t="s">
        <v>658</v>
      </c>
    </row>
    <row r="179" spans="1:29" s="27" customFormat="1" ht="11.6">
      <c r="A179" s="27" t="s">
        <v>521</v>
      </c>
      <c r="B179" s="216" t="s">
        <v>49</v>
      </c>
      <c r="C179" s="230" t="s">
        <v>47</v>
      </c>
      <c r="D179" s="230" t="s">
        <v>47</v>
      </c>
      <c r="E179" s="230" t="s">
        <v>47</v>
      </c>
      <c r="F179" s="230" t="s">
        <v>47</v>
      </c>
      <c r="G179" s="21">
        <f t="shared" ref="G179:AA179" si="111">G180*G182</f>
        <v>58630.502564696159</v>
      </c>
      <c r="H179" s="21">
        <f t="shared" si="111"/>
        <v>112329.01140193098</v>
      </c>
      <c r="I179" s="21">
        <f t="shared" si="111"/>
        <v>167493.44485103097</v>
      </c>
      <c r="J179" s="21">
        <f t="shared" si="111"/>
        <v>224094.29034633527</v>
      </c>
      <c r="K179" s="21">
        <f t="shared" si="111"/>
        <v>268335.95982020005</v>
      </c>
      <c r="L179" s="21">
        <f t="shared" si="111"/>
        <v>313657.85526394227</v>
      </c>
      <c r="M179" s="21">
        <f t="shared" si="111"/>
        <v>360058.35152793716</v>
      </c>
      <c r="N179" s="21">
        <f t="shared" si="111"/>
        <v>407534.6953283911</v>
      </c>
      <c r="O179" s="21">
        <f t="shared" si="111"/>
        <v>456083.41589120985</v>
      </c>
      <c r="P179" s="21">
        <f t="shared" si="111"/>
        <v>505702.27361625724</v>
      </c>
      <c r="Q179" s="21">
        <f t="shared" si="111"/>
        <v>556389.27513818932</v>
      </c>
      <c r="R179" s="21">
        <f t="shared" si="111"/>
        <v>608143.30217222893</v>
      </c>
      <c r="S179" s="21">
        <f t="shared" si="111"/>
        <v>660965.86697881995</v>
      </c>
      <c r="T179" s="21">
        <f t="shared" si="111"/>
        <v>714860.34032284888</v>
      </c>
      <c r="U179" s="21">
        <f t="shared" si="111"/>
        <v>769832.72730265022</v>
      </c>
      <c r="V179" s="21">
        <f t="shared" si="111"/>
        <v>825892.28861932713</v>
      </c>
      <c r="W179" s="21">
        <f t="shared" si="111"/>
        <v>862366.13933633373</v>
      </c>
      <c r="X179" s="21">
        <f t="shared" si="111"/>
        <v>899483.49253193685</v>
      </c>
      <c r="Y179" s="21">
        <f t="shared" si="111"/>
        <v>937255.97897393222</v>
      </c>
      <c r="Z179" s="21">
        <f t="shared" si="111"/>
        <v>975697.02484794357</v>
      </c>
      <c r="AA179" s="21">
        <f t="shared" si="111"/>
        <v>986542.22632858506</v>
      </c>
      <c r="AB179" s="53"/>
      <c r="AC179" s="27" t="s">
        <v>659</v>
      </c>
    </row>
    <row r="180" spans="1:29" s="27" customFormat="1" ht="11.6">
      <c r="A180" s="27" t="s">
        <v>522</v>
      </c>
      <c r="B180" s="241" t="s">
        <v>661</v>
      </c>
      <c r="C180" s="230" t="s">
        <v>47</v>
      </c>
      <c r="D180" s="230" t="s">
        <v>47</v>
      </c>
      <c r="E180" s="230" t="s">
        <v>47</v>
      </c>
      <c r="F180" s="230" t="s">
        <v>47</v>
      </c>
      <c r="G180" s="21">
        <f t="shared" ref="G180:AA180" si="112">G181*G59/100</f>
        <v>15732.497767115385</v>
      </c>
      <c r="H180" s="21">
        <f t="shared" si="112"/>
        <v>30141.578935181624</v>
      </c>
      <c r="I180" s="21">
        <f t="shared" si="112"/>
        <v>44944.016030181621</v>
      </c>
      <c r="J180" s="21">
        <f t="shared" si="112"/>
        <v>60131.889857275644</v>
      </c>
      <c r="K180" s="21">
        <f t="shared" si="112"/>
        <v>72003.389090000011</v>
      </c>
      <c r="L180" s="21">
        <f t="shared" si="112"/>
        <v>84164.748581730761</v>
      </c>
      <c r="M180" s="21">
        <f t="shared" si="112"/>
        <v>96615.532251217941</v>
      </c>
      <c r="N180" s="21">
        <f t="shared" si="112"/>
        <v>109355.00130160258</v>
      </c>
      <c r="O180" s="21">
        <f t="shared" si="112"/>
        <v>122382.22440971159</v>
      </c>
      <c r="P180" s="21">
        <f t="shared" si="112"/>
        <v>135696.60061695517</v>
      </c>
      <c r="Q180" s="21">
        <f t="shared" si="112"/>
        <v>149297.5950376603</v>
      </c>
      <c r="R180" s="21">
        <f t="shared" si="112"/>
        <v>163184.90759913463</v>
      </c>
      <c r="S180" s="21">
        <f t="shared" si="112"/>
        <v>177358.94409073718</v>
      </c>
      <c r="T180" s="21">
        <f t="shared" si="112"/>
        <v>191820.60899987182</v>
      </c>
      <c r="U180" s="21">
        <f t="shared" si="112"/>
        <v>206571.51369250004</v>
      </c>
      <c r="V180" s="21">
        <f t="shared" si="112"/>
        <v>221614.14312019234</v>
      </c>
      <c r="W180" s="21">
        <f t="shared" si="112"/>
        <v>231401.28035870087</v>
      </c>
      <c r="X180" s="21">
        <f t="shared" si="112"/>
        <v>241361.0905381667</v>
      </c>
      <c r="Y180" s="21">
        <f t="shared" si="112"/>
        <v>251496.69457723072</v>
      </c>
      <c r="Z180" s="21">
        <f t="shared" si="112"/>
        <v>261811.69516435894</v>
      </c>
      <c r="AA180" s="21">
        <f t="shared" si="112"/>
        <v>264721.82045093371</v>
      </c>
      <c r="AB180" s="53"/>
      <c r="AC180" s="27" t="s">
        <v>660</v>
      </c>
    </row>
    <row r="181" spans="1:29" s="27" customFormat="1" ht="11.6">
      <c r="A181" s="27" t="s">
        <v>194</v>
      </c>
      <c r="B181" s="216" t="s">
        <v>144</v>
      </c>
      <c r="C181" s="21">
        <f>C193*'Main calculations'!C225/23.4</f>
        <v>658702.76791452989</v>
      </c>
      <c r="D181" s="21">
        <f>C181*'Main calculations'!D225/'Main calculations'!C225</f>
        <v>668872.52150000003</v>
      </c>
      <c r="E181" s="21">
        <f>D181*'Main calculations'!E225/'Main calculations'!D225</f>
        <v>679029.12826923071</v>
      </c>
      <c r="F181" s="21">
        <f>E181*'Main calculations'!F225/'Main calculations'!E225</f>
        <v>689153.12551282055</v>
      </c>
      <c r="G181" s="21">
        <f>F181*'Main calculations'!G225/'Main calculations'!F225</f>
        <v>699222.12298290594</v>
      </c>
      <c r="H181" s="21">
        <f>G181*'Main calculations'!H225/'Main calculations'!G225</f>
        <v>709213.62200427346</v>
      </c>
      <c r="I181" s="21">
        <f>H181*'Main calculations'!I225/'Main calculations'!H225</f>
        <v>719104.25648290594</v>
      </c>
      <c r="J181" s="21">
        <f>I181*'Main calculations'!J225/'Main calculations'!I225</f>
        <v>728871.3922094017</v>
      </c>
      <c r="K181" s="21">
        <f>J181*'Main calculations'!K225/'Main calculations'!J225</f>
        <v>738496.29835897451</v>
      </c>
      <c r="L181" s="21">
        <f>K181*'Main calculations'!L225/'Main calculations'!K225</f>
        <v>748131.09850427345</v>
      </c>
      <c r="M181" s="21">
        <f>L181*'Main calculations'!M225/'Main calculations'!L225</f>
        <v>757768.88040170935</v>
      </c>
      <c r="N181" s="21">
        <f>M181*'Main calculations'!N225/'Main calculations'!M225</f>
        <v>767403.51790598291</v>
      </c>
      <c r="O181" s="21">
        <f>N181*'Main calculations'!O225/'Main calculations'!N225</f>
        <v>777029.996252137</v>
      </c>
      <c r="P181" s="21">
        <f>O181*'Main calculations'!P225/'Main calculations'!O225</f>
        <v>786646.96009829082</v>
      </c>
      <c r="Q181" s="21">
        <f>P181*'Main calculations'!Q225/'Main calculations'!P225</f>
        <v>796253.84020085481</v>
      </c>
      <c r="R181" s="21">
        <f>Q181*'Main calculations'!R225/'Main calculations'!Q225</f>
        <v>805851.3955512821</v>
      </c>
      <c r="S181" s="21">
        <f>R181*'Main calculations'!S225/'Main calculations'!R225</f>
        <v>815443.42110683757</v>
      </c>
      <c r="T181" s="21">
        <f>S181*'Main calculations'!T225/'Main calculations'!S225</f>
        <v>825034.87741880352</v>
      </c>
      <c r="U181" s="21">
        <f>T181*'Main calculations'!U225/'Main calculations'!T225</f>
        <v>834632.37855555571</v>
      </c>
      <c r="V181" s="21">
        <f>U181*'Main calculations'!V225/'Main calculations'!U225</f>
        <v>844244.35474358976</v>
      </c>
      <c r="W181" s="21">
        <f>V181*'Main calculations'!W225/'Main calculations'!V225</f>
        <v>853879.26331623935</v>
      </c>
      <c r="X181" s="21">
        <f>W181*'Main calculations'!X225/'Main calculations'!W225</f>
        <v>863545.94110256422</v>
      </c>
      <c r="Y181" s="21">
        <f>X181*'Main calculations'!Y225/'Main calculations'!X225</f>
        <v>873252.4117264956</v>
      </c>
      <c r="Z181" s="21">
        <f>Y181*'Main calculations'!Z225/'Main calculations'!Y225</f>
        <v>883007.40358974354</v>
      </c>
      <c r="AA181" s="21">
        <f>Z181*'Main calculations'!AA225/'Main calculations'!Z225</f>
        <v>892822.32867094013</v>
      </c>
      <c r="AB181" s="53"/>
      <c r="AC181" s="27" t="s">
        <v>971</v>
      </c>
    </row>
    <row r="182" spans="1:29" s="27" customFormat="1" ht="11.6">
      <c r="A182" s="27" t="s">
        <v>195</v>
      </c>
      <c r="B182" s="216" t="s">
        <v>6</v>
      </c>
      <c r="C182" s="53">
        <f>C194/C193</f>
        <v>3.7267129118713544</v>
      </c>
      <c r="D182" s="53">
        <f t="shared" ref="D182:AA182" si="113">$C$182</f>
        <v>3.7267129118713544</v>
      </c>
      <c r="E182" s="53">
        <f t="shared" si="113"/>
        <v>3.7267129118713544</v>
      </c>
      <c r="F182" s="53">
        <f t="shared" si="113"/>
        <v>3.7267129118713544</v>
      </c>
      <c r="G182" s="53">
        <f t="shared" si="113"/>
        <v>3.7267129118713544</v>
      </c>
      <c r="H182" s="53">
        <f t="shared" si="113"/>
        <v>3.7267129118713544</v>
      </c>
      <c r="I182" s="53">
        <f t="shared" si="113"/>
        <v>3.7267129118713544</v>
      </c>
      <c r="J182" s="53">
        <f t="shared" si="113"/>
        <v>3.7267129118713544</v>
      </c>
      <c r="K182" s="53">
        <f t="shared" si="113"/>
        <v>3.7267129118713544</v>
      </c>
      <c r="L182" s="53">
        <f t="shared" si="113"/>
        <v>3.7267129118713544</v>
      </c>
      <c r="M182" s="53">
        <f t="shared" si="113"/>
        <v>3.7267129118713544</v>
      </c>
      <c r="N182" s="53">
        <f t="shared" si="113"/>
        <v>3.7267129118713544</v>
      </c>
      <c r="O182" s="53">
        <f t="shared" si="113"/>
        <v>3.7267129118713544</v>
      </c>
      <c r="P182" s="53">
        <f t="shared" si="113"/>
        <v>3.7267129118713544</v>
      </c>
      <c r="Q182" s="53">
        <f t="shared" si="113"/>
        <v>3.7267129118713544</v>
      </c>
      <c r="R182" s="53">
        <f t="shared" si="113"/>
        <v>3.7267129118713544</v>
      </c>
      <c r="S182" s="53">
        <f t="shared" si="113"/>
        <v>3.7267129118713544</v>
      </c>
      <c r="T182" s="53">
        <f t="shared" si="113"/>
        <v>3.7267129118713544</v>
      </c>
      <c r="U182" s="53">
        <f t="shared" si="113"/>
        <v>3.7267129118713544</v>
      </c>
      <c r="V182" s="53">
        <f t="shared" si="113"/>
        <v>3.7267129118713544</v>
      </c>
      <c r="W182" s="53">
        <f t="shared" si="113"/>
        <v>3.7267129118713544</v>
      </c>
      <c r="X182" s="53">
        <f t="shared" si="113"/>
        <v>3.7267129118713544</v>
      </c>
      <c r="Y182" s="53">
        <f t="shared" si="113"/>
        <v>3.7267129118713544</v>
      </c>
      <c r="Z182" s="53">
        <f t="shared" si="113"/>
        <v>3.7267129118713544</v>
      </c>
      <c r="AA182" s="53">
        <f t="shared" si="113"/>
        <v>3.7267129118713544</v>
      </c>
      <c r="AB182" s="53"/>
      <c r="AC182" s="27" t="s">
        <v>662</v>
      </c>
    </row>
    <row r="183" spans="1:29" s="27" customFormat="1" ht="12" thickBot="1">
      <c r="A183" s="225" t="s">
        <v>192</v>
      </c>
      <c r="B183" s="351" t="s">
        <v>886</v>
      </c>
      <c r="C183" s="252">
        <f>'AIHW Hospital resources'!$C$74/365.25/'AIHW Hospital resources'!$F$12</f>
        <v>0.87860317883805594</v>
      </c>
      <c r="D183" s="252">
        <f t="shared" ref="D183:AA183" si="114">C183</f>
        <v>0.87860317883805594</v>
      </c>
      <c r="E183" s="252">
        <f t="shared" si="114"/>
        <v>0.87860317883805594</v>
      </c>
      <c r="F183" s="252">
        <f t="shared" si="114"/>
        <v>0.87860317883805594</v>
      </c>
      <c r="G183" s="252">
        <f t="shared" si="114"/>
        <v>0.87860317883805594</v>
      </c>
      <c r="H183" s="252">
        <f t="shared" si="114"/>
        <v>0.87860317883805594</v>
      </c>
      <c r="I183" s="252">
        <f t="shared" si="114"/>
        <v>0.87860317883805594</v>
      </c>
      <c r="J183" s="252">
        <f t="shared" si="114"/>
        <v>0.87860317883805594</v>
      </c>
      <c r="K183" s="252">
        <f t="shared" si="114"/>
        <v>0.87860317883805594</v>
      </c>
      <c r="L183" s="252">
        <f t="shared" si="114"/>
        <v>0.87860317883805594</v>
      </c>
      <c r="M183" s="252">
        <f t="shared" si="114"/>
        <v>0.87860317883805594</v>
      </c>
      <c r="N183" s="252">
        <f t="shared" si="114"/>
        <v>0.87860317883805594</v>
      </c>
      <c r="O183" s="252">
        <f t="shared" si="114"/>
        <v>0.87860317883805594</v>
      </c>
      <c r="P183" s="252">
        <f t="shared" si="114"/>
        <v>0.87860317883805594</v>
      </c>
      <c r="Q183" s="252">
        <f t="shared" si="114"/>
        <v>0.87860317883805594</v>
      </c>
      <c r="R183" s="252">
        <f t="shared" si="114"/>
        <v>0.87860317883805594</v>
      </c>
      <c r="S183" s="252">
        <f t="shared" si="114"/>
        <v>0.87860317883805594</v>
      </c>
      <c r="T183" s="252">
        <f t="shared" si="114"/>
        <v>0.87860317883805594</v>
      </c>
      <c r="U183" s="252">
        <f t="shared" si="114"/>
        <v>0.87860317883805594</v>
      </c>
      <c r="V183" s="252">
        <f t="shared" si="114"/>
        <v>0.87860317883805594</v>
      </c>
      <c r="W183" s="252">
        <f t="shared" si="114"/>
        <v>0.87860317883805594</v>
      </c>
      <c r="X183" s="252">
        <f t="shared" si="114"/>
        <v>0.87860317883805594</v>
      </c>
      <c r="Y183" s="252">
        <f t="shared" si="114"/>
        <v>0.87860317883805594</v>
      </c>
      <c r="Z183" s="252">
        <f t="shared" si="114"/>
        <v>0.87860317883805594</v>
      </c>
      <c r="AA183" s="252">
        <f t="shared" si="114"/>
        <v>0.87860317883805594</v>
      </c>
      <c r="AB183" s="225"/>
      <c r="AC183" s="225" t="s">
        <v>665</v>
      </c>
    </row>
    <row r="184" spans="1:29" s="27" customFormat="1" ht="11.6">
      <c r="B184" s="233"/>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1:29" s="39" customFormat="1" ht="12" thickBot="1">
      <c r="A185" s="351" t="s">
        <v>885</v>
      </c>
      <c r="B185" s="352">
        <v>9</v>
      </c>
      <c r="C185" s="353"/>
      <c r="D185" s="353"/>
      <c r="E185" s="353"/>
      <c r="F185" s="353"/>
      <c r="G185" s="353"/>
      <c r="H185" s="353"/>
      <c r="I185" s="353"/>
      <c r="J185" s="353"/>
      <c r="K185" s="353"/>
      <c r="L185" s="353"/>
      <c r="M185" s="353"/>
      <c r="N185" s="353"/>
      <c r="O185" s="353"/>
      <c r="P185" s="353"/>
      <c r="Q185" s="353"/>
      <c r="R185" s="353"/>
      <c r="S185" s="353"/>
      <c r="T185" s="353"/>
      <c r="U185" s="353"/>
      <c r="V185" s="353"/>
      <c r="W185" s="353"/>
      <c r="X185" s="353"/>
      <c r="Y185" s="353"/>
      <c r="Z185" s="353"/>
      <c r="AA185" s="353"/>
      <c r="AB185" s="225"/>
      <c r="AC185" s="225"/>
    </row>
    <row r="186" spans="1:29" s="27" customFormat="1" ht="11.6">
      <c r="A186" s="27" t="s">
        <v>883</v>
      </c>
      <c r="B186" s="350"/>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1:29" s="27" customFormat="1" ht="11.6">
      <c r="A187" s="241"/>
      <c r="B187" s="241"/>
      <c r="C187" s="242" t="s">
        <v>656</v>
      </c>
      <c r="D187" s="242" t="s">
        <v>657</v>
      </c>
      <c r="E187" s="242"/>
      <c r="F187" s="242"/>
      <c r="G187" s="190"/>
      <c r="H187" s="190"/>
      <c r="I187" s="190"/>
      <c r="J187" s="190"/>
      <c r="K187" s="190"/>
      <c r="L187" s="190"/>
      <c r="M187" s="190"/>
      <c r="N187" s="190"/>
      <c r="O187" s="190"/>
      <c r="P187" s="190"/>
      <c r="Q187" s="190"/>
      <c r="R187" s="190"/>
      <c r="S187" s="190"/>
      <c r="T187" s="190"/>
      <c r="U187" s="190"/>
      <c r="V187" s="190"/>
      <c r="W187" s="190"/>
      <c r="X187" s="190"/>
      <c r="Y187" s="190"/>
      <c r="Z187" s="190"/>
      <c r="AA187" s="190"/>
    </row>
    <row r="188" spans="1:29" s="27" customFormat="1" ht="11.6">
      <c r="A188" s="27" t="s">
        <v>291</v>
      </c>
      <c r="B188" s="216" t="s">
        <v>2</v>
      </c>
      <c r="C188" s="21">
        <v>500000</v>
      </c>
      <c r="D188" s="21">
        <v>200000</v>
      </c>
      <c r="E188" s="224"/>
      <c r="F188" s="224"/>
      <c r="AC188" s="27" t="s">
        <v>293</v>
      </c>
    </row>
    <row r="189" spans="1:29" s="27" customFormat="1" ht="23.15">
      <c r="A189" s="241" t="s">
        <v>292</v>
      </c>
      <c r="B189" s="241" t="s">
        <v>7</v>
      </c>
      <c r="C189" s="242">
        <v>90</v>
      </c>
      <c r="D189" s="242">
        <v>30</v>
      </c>
      <c r="E189" s="242"/>
      <c r="F189" s="242"/>
      <c r="G189" s="190"/>
      <c r="H189" s="190"/>
      <c r="I189" s="190"/>
      <c r="J189" s="190"/>
      <c r="K189" s="190"/>
      <c r="L189" s="190"/>
      <c r="M189" s="190"/>
      <c r="N189" s="190"/>
      <c r="O189" s="190"/>
      <c r="P189" s="190"/>
      <c r="Q189" s="190"/>
      <c r="R189" s="190"/>
      <c r="S189" s="190"/>
      <c r="T189" s="190"/>
      <c r="U189" s="190"/>
      <c r="V189" s="190"/>
      <c r="W189" s="190"/>
      <c r="X189" s="190"/>
      <c r="Y189" s="190"/>
      <c r="Z189" s="190"/>
      <c r="AA189" s="190"/>
      <c r="AB189" s="39"/>
      <c r="AC189" s="27" t="s">
        <v>293</v>
      </c>
    </row>
    <row r="190" spans="1:29" s="27" customFormat="1" ht="11.6"/>
    <row r="191" spans="1:29" s="27" customFormat="1" ht="11.6">
      <c r="A191" s="27" t="s">
        <v>884</v>
      </c>
    </row>
    <row r="192" spans="1:29" s="27" customFormat="1" ht="11.6">
      <c r="A192" s="241"/>
      <c r="B192" s="241"/>
      <c r="C192" s="26" t="s">
        <v>663</v>
      </c>
      <c r="D192" s="242"/>
      <c r="E192" s="242"/>
      <c r="F192" s="242"/>
      <c r="G192" s="190"/>
      <c r="H192" s="190"/>
      <c r="I192" s="190"/>
      <c r="J192" s="190"/>
      <c r="K192" s="190"/>
      <c r="L192" s="190"/>
      <c r="M192" s="190"/>
      <c r="N192" s="190"/>
      <c r="O192" s="190"/>
      <c r="P192" s="190"/>
      <c r="Q192" s="190"/>
      <c r="R192" s="190"/>
      <c r="S192" s="190"/>
      <c r="T192" s="190"/>
      <c r="U192" s="190"/>
      <c r="V192" s="190"/>
      <c r="W192" s="190"/>
      <c r="X192" s="190"/>
      <c r="Y192" s="190"/>
      <c r="Z192" s="190"/>
      <c r="AA192" s="190"/>
      <c r="AB192" s="39"/>
    </row>
    <row r="193" spans="1:29" s="27" customFormat="1" ht="11.6">
      <c r="A193" s="27" t="s">
        <v>137</v>
      </c>
      <c r="B193" s="216" t="s">
        <v>144</v>
      </c>
      <c r="C193" s="21">
        <v>634300</v>
      </c>
      <c r="AC193" s="27" t="s">
        <v>9</v>
      </c>
    </row>
    <row r="194" spans="1:29" s="27" customFormat="1" ht="12" thickBot="1">
      <c r="A194" s="225" t="s">
        <v>51</v>
      </c>
      <c r="B194" s="234" t="s">
        <v>6</v>
      </c>
      <c r="C194" s="243">
        <v>2363854</v>
      </c>
      <c r="D194" s="243"/>
      <c r="E194" s="243"/>
      <c r="F194" s="243"/>
      <c r="G194" s="225"/>
      <c r="H194" s="225"/>
      <c r="I194" s="225"/>
      <c r="J194" s="225"/>
      <c r="K194" s="225"/>
      <c r="L194" s="225"/>
      <c r="M194" s="225"/>
      <c r="N194" s="225"/>
      <c r="O194" s="225"/>
      <c r="P194" s="225"/>
      <c r="Q194" s="225"/>
      <c r="R194" s="225"/>
      <c r="S194" s="225"/>
      <c r="T194" s="225"/>
      <c r="U194" s="225"/>
      <c r="V194" s="225"/>
      <c r="W194" s="225"/>
      <c r="X194" s="225"/>
      <c r="Y194" s="225"/>
      <c r="Z194" s="225"/>
      <c r="AA194" s="225"/>
      <c r="AB194" s="225"/>
      <c r="AC194" s="225" t="s">
        <v>48</v>
      </c>
    </row>
    <row r="195" spans="1:29" s="27" customFormat="1" ht="11.6">
      <c r="B195" s="216"/>
    </row>
    <row r="196" spans="1:29" s="27" customFormat="1" ht="11.6">
      <c r="B196" s="233"/>
    </row>
    <row r="197" spans="1:29" s="27" customFormat="1" ht="11.6">
      <c r="A197" s="27" t="s">
        <v>650</v>
      </c>
      <c r="B197" s="27">
        <v>10</v>
      </c>
      <c r="C197" s="27" t="s">
        <v>673</v>
      </c>
    </row>
    <row r="198" spans="1:29" s="27" customFormat="1" ht="12" thickBot="1">
      <c r="C198" s="27" t="s">
        <v>578</v>
      </c>
    </row>
    <row r="199" spans="1:29" s="27" customFormat="1" ht="12" thickBot="1">
      <c r="A199" s="14"/>
      <c r="B199" s="14" t="s">
        <v>91</v>
      </c>
      <c r="C199" s="15">
        <v>2016</v>
      </c>
      <c r="D199" s="15">
        <v>2017</v>
      </c>
      <c r="E199" s="15">
        <v>2018</v>
      </c>
      <c r="F199" s="15">
        <v>2019</v>
      </c>
      <c r="G199" s="15">
        <v>2020</v>
      </c>
      <c r="H199" s="15">
        <v>2021</v>
      </c>
      <c r="I199" s="15">
        <v>2022</v>
      </c>
      <c r="J199" s="15">
        <v>2023</v>
      </c>
      <c r="K199" s="15">
        <v>2024</v>
      </c>
      <c r="L199" s="15">
        <v>2025</v>
      </c>
      <c r="M199" s="15">
        <v>2026</v>
      </c>
      <c r="N199" s="15">
        <v>2027</v>
      </c>
      <c r="O199" s="15">
        <v>2028</v>
      </c>
      <c r="P199" s="15">
        <v>2029</v>
      </c>
      <c r="Q199" s="15">
        <v>2030</v>
      </c>
      <c r="R199" s="15">
        <v>2031</v>
      </c>
      <c r="S199" s="15">
        <v>2032</v>
      </c>
      <c r="T199" s="15">
        <v>2033</v>
      </c>
      <c r="U199" s="15">
        <v>2034</v>
      </c>
      <c r="V199" s="15">
        <v>2035</v>
      </c>
      <c r="W199" s="15">
        <v>2036</v>
      </c>
      <c r="X199" s="15">
        <v>2037</v>
      </c>
      <c r="Y199" s="15">
        <v>2038</v>
      </c>
      <c r="Z199" s="15">
        <v>2039</v>
      </c>
      <c r="AA199" s="15">
        <v>2040</v>
      </c>
      <c r="AB199" s="292"/>
      <c r="AC199" s="292" t="s">
        <v>828</v>
      </c>
    </row>
    <row r="200" spans="1:29" s="27" customFormat="1" ht="11.6">
      <c r="A200" s="197" t="s">
        <v>669</v>
      </c>
      <c r="B200" s="216" t="s">
        <v>15</v>
      </c>
      <c r="C200" s="230" t="s">
        <v>47</v>
      </c>
      <c r="D200" s="230" t="s">
        <v>47</v>
      </c>
      <c r="E200" s="230" t="s">
        <v>47</v>
      </c>
      <c r="F200" s="230" t="s">
        <v>47</v>
      </c>
      <c r="G200" s="21">
        <f t="shared" ref="G200:AA200" si="115">G201+G203</f>
        <v>349.4061607337627</v>
      </c>
      <c r="H200" s="21">
        <f t="shared" si="115"/>
        <v>690.67892250377827</v>
      </c>
      <c r="I200" s="21">
        <f t="shared" si="115"/>
        <v>1062.9345476473586</v>
      </c>
      <c r="J200" s="21">
        <f t="shared" si="115"/>
        <v>1468.3165254291084</v>
      </c>
      <c r="K200" s="21">
        <f t="shared" si="115"/>
        <v>1815.9738336545734</v>
      </c>
      <c r="L200" s="21">
        <f t="shared" si="115"/>
        <v>2192.7884041378966</v>
      </c>
      <c r="M200" s="21">
        <f t="shared" si="115"/>
        <v>2600.7201402543506</v>
      </c>
      <c r="N200" s="21">
        <f t="shared" si="115"/>
        <v>3041.8481711027871</v>
      </c>
      <c r="O200" s="21">
        <f t="shared" si="115"/>
        <v>3518.3777016968625</v>
      </c>
      <c r="P200" s="21">
        <f t="shared" si="115"/>
        <v>4032.6472424282215</v>
      </c>
      <c r="Q200" s="21">
        <f t="shared" si="115"/>
        <v>4587.1362382621019</v>
      </c>
      <c r="R200" s="21">
        <f t="shared" si="115"/>
        <v>5184.4731192085928</v>
      </c>
      <c r="S200" s="21">
        <f t="shared" si="115"/>
        <v>5827.4437947519255</v>
      </c>
      <c r="T200" s="21">
        <f t="shared" si="115"/>
        <v>6519.0006161187794</v>
      </c>
      <c r="U200" s="21">
        <f t="shared" si="115"/>
        <v>7262.271831527547</v>
      </c>
      <c r="V200" s="21">
        <f t="shared" si="115"/>
        <v>8060.5715608871269</v>
      </c>
      <c r="W200" s="21">
        <f t="shared" si="115"/>
        <v>8708.5340400949754</v>
      </c>
      <c r="X200" s="21">
        <f t="shared" si="115"/>
        <v>9399.328059011621</v>
      </c>
      <c r="Y200" s="21">
        <f t="shared" si="115"/>
        <v>10135.535893959324</v>
      </c>
      <c r="Z200" s="21">
        <f t="shared" si="115"/>
        <v>10919.887360461562</v>
      </c>
      <c r="AA200" s="21">
        <f t="shared" si="115"/>
        <v>11427.662122723024</v>
      </c>
      <c r="AC200" s="27" t="s">
        <v>674</v>
      </c>
    </row>
    <row r="201" spans="1:29" s="27" customFormat="1" ht="11.6">
      <c r="A201" s="197" t="s">
        <v>870</v>
      </c>
      <c r="B201" s="216" t="s">
        <v>15</v>
      </c>
      <c r="C201" s="230" t="s">
        <v>47</v>
      </c>
      <c r="D201" s="230" t="s">
        <v>47</v>
      </c>
      <c r="E201" s="230" t="s">
        <v>47</v>
      </c>
      <c r="F201" s="230" t="s">
        <v>47</v>
      </c>
      <c r="G201" s="21">
        <f t="shared" ref="G201:AA201" si="116">0.1*G59/100*G202</f>
        <v>139.05352090501771</v>
      </c>
      <c r="H201" s="21">
        <f t="shared" si="116"/>
        <v>274.8701848511908</v>
      </c>
      <c r="I201" s="21">
        <f t="shared" si="116"/>
        <v>423.01713006878117</v>
      </c>
      <c r="J201" s="21">
        <f t="shared" si="116"/>
        <v>584.34740313441296</v>
      </c>
      <c r="K201" s="21">
        <f t="shared" si="116"/>
        <v>722.70493144928378</v>
      </c>
      <c r="L201" s="21">
        <f t="shared" si="116"/>
        <v>872.66620472500995</v>
      </c>
      <c r="M201" s="21">
        <f t="shared" si="116"/>
        <v>1035.0112076773528</v>
      </c>
      <c r="N201" s="21">
        <f t="shared" si="116"/>
        <v>1210.5673734030968</v>
      </c>
      <c r="O201" s="21">
        <f t="shared" si="116"/>
        <v>1400.2123095575344</v>
      </c>
      <c r="P201" s="21">
        <f t="shared" si="116"/>
        <v>1604.8766754711942</v>
      </c>
      <c r="Q201" s="21">
        <f t="shared" si="116"/>
        <v>1825.5472183484835</v>
      </c>
      <c r="R201" s="21">
        <f t="shared" si="116"/>
        <v>2063.2699771218226</v>
      </c>
      <c r="S201" s="21">
        <f t="shared" si="116"/>
        <v>2319.1536629882089</v>
      </c>
      <c r="T201" s="21">
        <f t="shared" si="116"/>
        <v>2594.3732261321375</v>
      </c>
      <c r="U201" s="21">
        <f t="shared" si="116"/>
        <v>2890.1736186406547</v>
      </c>
      <c r="V201" s="21">
        <f t="shared" si="116"/>
        <v>3207.8737641442599</v>
      </c>
      <c r="W201" s="21">
        <f t="shared" si="116"/>
        <v>3465.7440431312698</v>
      </c>
      <c r="X201" s="21">
        <f t="shared" si="116"/>
        <v>3740.6600330175497</v>
      </c>
      <c r="Y201" s="21">
        <f t="shared" si="116"/>
        <v>4033.6494049059947</v>
      </c>
      <c r="Z201" s="21">
        <f t="shared" si="116"/>
        <v>4345.798546223672</v>
      </c>
      <c r="AA201" s="21">
        <f t="shared" si="116"/>
        <v>4547.8781786230729</v>
      </c>
      <c r="AC201" s="27" t="s">
        <v>675</v>
      </c>
    </row>
    <row r="202" spans="1:29" s="27" customFormat="1" ht="11.6">
      <c r="A202" s="197" t="s">
        <v>871</v>
      </c>
      <c r="B202" s="216" t="s">
        <v>15</v>
      </c>
      <c r="C202" s="21">
        <f>'AIHW Health spending &amp; PC ests'!C7</f>
        <v>51527.911599999992</v>
      </c>
      <c r="D202" s="21">
        <f>$C202*((1+'Main calculations'!$C$239/100)^(D199-2016))</f>
        <v>53923.959489399989</v>
      </c>
      <c r="E202" s="21">
        <f>$C202*((1+'Main calculations'!$C$239/100)^(E199-2016))</f>
        <v>56431.423605657088</v>
      </c>
      <c r="F202" s="21">
        <f>$C202*((1+'Main calculations'!$C$239/100)^(F199-2016))</f>
        <v>59055.484803320149</v>
      </c>
      <c r="G202" s="21">
        <f>$C202*((1+'Main calculations'!$C$239/100)^(G199-2016))</f>
        <v>61801.564846674533</v>
      </c>
      <c r="H202" s="21">
        <f>$C202*((1+'Main calculations'!$C$239/100)^(H199-2016))</f>
        <v>64675.337612044896</v>
      </c>
      <c r="I202" s="21">
        <f>$C202*((1+'Main calculations'!$C$239/100)^(I199-2016))</f>
        <v>67682.740811004987</v>
      </c>
      <c r="J202" s="21">
        <f>$C202*((1+'Main calculations'!$C$239/100)^(J199-2016))</f>
        <v>70829.988258716723</v>
      </c>
      <c r="K202" s="21">
        <f>$C202*((1+'Main calculations'!$C$239/100)^(K199-2016))</f>
        <v>74123.58271274704</v>
      </c>
      <c r="L202" s="21">
        <f>$C202*((1+'Main calculations'!$C$239/100)^(L199-2016))</f>
        <v>77570.329308889777</v>
      </c>
      <c r="M202" s="21">
        <f>$C202*((1+'Main calculations'!$C$239/100)^(M199-2016))</f>
        <v>81177.34962175315</v>
      </c>
      <c r="N202" s="21">
        <f>$C202*((1+'Main calculations'!$C$239/100)^(N199-2016))</f>
        <v>84952.096379164679</v>
      </c>
      <c r="O202" s="21">
        <f>$C202*((1+'Main calculations'!$C$239/100)^(O199-2016))</f>
        <v>88902.368860795832</v>
      </c>
      <c r="P202" s="21">
        <f>$C202*((1+'Main calculations'!$C$239/100)^(P199-2016))</f>
        <v>93036.32901282284</v>
      </c>
      <c r="Q202" s="21">
        <f>$C202*((1+'Main calculations'!$C$239/100)^(Q199-2016))</f>
        <v>97362.518311919106</v>
      </c>
      <c r="R202" s="21">
        <f>$C202*((1+'Main calculations'!$C$239/100)^(R199-2016))</f>
        <v>101889.87541342333</v>
      </c>
      <c r="S202" s="21">
        <f>$C202*((1+'Main calculations'!$C$239/100)^(S199-2016))</f>
        <v>106627.75462014752</v>
      </c>
      <c r="T202" s="21">
        <f>$C202*((1+'Main calculations'!$C$239/100)^(T199-2016))</f>
        <v>111585.94520998439</v>
      </c>
      <c r="U202" s="21">
        <f>$C202*((1+'Main calculations'!$C$239/100)^(U199-2016))</f>
        <v>116774.69166224866</v>
      </c>
      <c r="V202" s="21">
        <f>$C202*((1+'Main calculations'!$C$239/100)^(V199-2016))</f>
        <v>122204.71482454323</v>
      </c>
      <c r="W202" s="21">
        <f>$C202*((1+'Main calculations'!$C$239/100)^(W199-2016))</f>
        <v>127887.23406388448</v>
      </c>
      <c r="X202" s="21">
        <f>$C202*((1+'Main calculations'!$C$239/100)^(X199-2016))</f>
        <v>133833.99044785509</v>
      </c>
      <c r="Y202" s="21">
        <f>$C202*((1+'Main calculations'!$C$239/100)^(Y199-2016))</f>
        <v>140057.27100368036</v>
      </c>
      <c r="Z202" s="21">
        <f>$C202*((1+'Main calculations'!$C$239/100)^(Z199-2016))</f>
        <v>146569.93410535151</v>
      </c>
      <c r="AA202" s="21">
        <f>$C202*((1+'Main calculations'!$C$239/100)^(AA199-2016))</f>
        <v>153385.43604125036</v>
      </c>
      <c r="AC202" s="27" t="s">
        <v>686</v>
      </c>
    </row>
    <row r="203" spans="1:29" s="27" customFormat="1" ht="11.6">
      <c r="A203" s="197" t="s">
        <v>872</v>
      </c>
      <c r="B203" s="216" t="s">
        <v>15</v>
      </c>
      <c r="C203" s="230" t="s">
        <v>47</v>
      </c>
      <c r="D203" s="230" t="s">
        <v>47</v>
      </c>
      <c r="E203" s="230" t="s">
        <v>47</v>
      </c>
      <c r="F203" s="230" t="s">
        <v>47</v>
      </c>
      <c r="G203" s="21">
        <f t="shared" ref="G203:AA203" si="117">0.1*G59/100*G204</f>
        <v>210.35263982874497</v>
      </c>
      <c r="H203" s="21">
        <f t="shared" si="117"/>
        <v>415.80873765258741</v>
      </c>
      <c r="I203" s="21">
        <f t="shared" si="117"/>
        <v>639.91741757857756</v>
      </c>
      <c r="J203" s="21">
        <f t="shared" si="117"/>
        <v>883.96912229469547</v>
      </c>
      <c r="K203" s="21">
        <f t="shared" si="117"/>
        <v>1093.2689022052896</v>
      </c>
      <c r="L203" s="21">
        <f t="shared" si="117"/>
        <v>1320.1221994128869</v>
      </c>
      <c r="M203" s="21">
        <f t="shared" si="117"/>
        <v>1565.7089325769978</v>
      </c>
      <c r="N203" s="21">
        <f t="shared" si="117"/>
        <v>1831.2807976996903</v>
      </c>
      <c r="O203" s="21">
        <f t="shared" si="117"/>
        <v>2118.1653921393281</v>
      </c>
      <c r="P203" s="21">
        <f t="shared" si="117"/>
        <v>2427.7705669570273</v>
      </c>
      <c r="Q203" s="21">
        <f t="shared" si="117"/>
        <v>2761.5890199136184</v>
      </c>
      <c r="R203" s="21">
        <f t="shared" si="117"/>
        <v>3121.2031420867697</v>
      </c>
      <c r="S203" s="21">
        <f t="shared" si="117"/>
        <v>3508.2901317637161</v>
      </c>
      <c r="T203" s="21">
        <f t="shared" si="117"/>
        <v>3924.6273899866419</v>
      </c>
      <c r="U203" s="21">
        <f t="shared" si="117"/>
        <v>4372.0982128868927</v>
      </c>
      <c r="V203" s="21">
        <f t="shared" si="117"/>
        <v>4852.6977967428675</v>
      </c>
      <c r="W203" s="21">
        <f t="shared" si="117"/>
        <v>5242.7899969637047</v>
      </c>
      <c r="X203" s="21">
        <f t="shared" si="117"/>
        <v>5658.6680259940713</v>
      </c>
      <c r="Y203" s="21">
        <f t="shared" si="117"/>
        <v>6101.8864890533287</v>
      </c>
      <c r="Z203" s="21">
        <f t="shared" si="117"/>
        <v>6574.088814237889</v>
      </c>
      <c r="AA203" s="21">
        <f t="shared" si="117"/>
        <v>6879.7839440999514</v>
      </c>
      <c r="AC203" s="27" t="s">
        <v>676</v>
      </c>
    </row>
    <row r="204" spans="1:29" s="27" customFormat="1" ht="12" thickBot="1">
      <c r="A204" s="234" t="s">
        <v>873</v>
      </c>
      <c r="B204" s="234" t="s">
        <v>15</v>
      </c>
      <c r="C204" s="22">
        <f>C169</f>
        <v>77948.635599999994</v>
      </c>
      <c r="D204" s="22">
        <f>$C204*((1+'Main calculations'!$C$239/100)^(D199-2016))</f>
        <v>81573.247155399993</v>
      </c>
      <c r="E204" s="22">
        <f>$C204*((1+'Main calculations'!$C$239/100)^(E199-2016))</f>
        <v>85366.40314812609</v>
      </c>
      <c r="F204" s="22">
        <f>$C204*((1+'Main calculations'!$C$239/100)^(F199-2016))</f>
        <v>89335.940894513958</v>
      </c>
      <c r="G204" s="22">
        <f>$C204*((1+'Main calculations'!$C$239/100)^(G199-2016))</f>
        <v>93490.062146108859</v>
      </c>
      <c r="H204" s="22">
        <f>$C204*((1+'Main calculations'!$C$239/100)^(H199-2016))</f>
        <v>97837.350035902913</v>
      </c>
      <c r="I204" s="22">
        <f>$C204*((1+'Main calculations'!$C$239/100)^(I199-2016))</f>
        <v>102386.78681257241</v>
      </c>
      <c r="J204" s="22">
        <f>$C204*((1+'Main calculations'!$C$239/100)^(J199-2016))</f>
        <v>107147.77239935703</v>
      </c>
      <c r="K204" s="22">
        <f>$C204*((1+'Main calculations'!$C$239/100)^(K199-2016))</f>
        <v>112130.14381592712</v>
      </c>
      <c r="L204" s="22">
        <f>$C204*((1+'Main calculations'!$C$239/100)^(L199-2016))</f>
        <v>117344.19550336772</v>
      </c>
      <c r="M204" s="22">
        <f>$C204*((1+'Main calculations'!$C$239/100)^(M199-2016))</f>
        <v>122800.70059427433</v>
      </c>
      <c r="N204" s="22">
        <f>$C204*((1+'Main calculations'!$C$239/100)^(N199-2016))</f>
        <v>128510.93317190809</v>
      </c>
      <c r="O204" s="22">
        <f>$C204*((1+'Main calculations'!$C$239/100)^(O199-2016))</f>
        <v>134486.69156440179</v>
      </c>
      <c r="P204" s="22">
        <f>$C204*((1+'Main calculations'!$C$239/100)^(P199-2016))</f>
        <v>140740.32272214649</v>
      </c>
      <c r="Q204" s="22">
        <f>$C204*((1+'Main calculations'!$C$239/100)^(Q199-2016))</f>
        <v>147284.7477287263</v>
      </c>
      <c r="R204" s="22">
        <f>$C204*((1+'Main calculations'!$C$239/100)^(R199-2016))</f>
        <v>154133.48849811207</v>
      </c>
      <c r="S204" s="22">
        <f>$C204*((1+'Main calculations'!$C$239/100)^(S199-2016))</f>
        <v>161300.6957132743</v>
      </c>
      <c r="T204" s="22">
        <f>$C204*((1+'Main calculations'!$C$239/100)^(T199-2016))</f>
        <v>168801.17806394157</v>
      </c>
      <c r="U204" s="22">
        <f>$C204*((1+'Main calculations'!$C$239/100)^(U199-2016))</f>
        <v>176650.43284391484</v>
      </c>
      <c r="V204" s="22">
        <f>$C204*((1+'Main calculations'!$C$239/100)^(V199-2016))</f>
        <v>184864.67797115687</v>
      </c>
      <c r="W204" s="22">
        <f>$C204*((1+'Main calculations'!$C$239/100)^(W199-2016))</f>
        <v>193460.88549681564</v>
      </c>
      <c r="X204" s="22">
        <f>$C204*((1+'Main calculations'!$C$239/100)^(X199-2016))</f>
        <v>202456.81667241757</v>
      </c>
      <c r="Y204" s="22">
        <f>$C204*((1+'Main calculations'!$C$239/100)^(Y199-2016))</f>
        <v>211871.05864768501</v>
      </c>
      <c r="Z204" s="22">
        <f>$C204*((1+'Main calculations'!$C$239/100)^(Z199-2016))</f>
        <v>221723.06287480233</v>
      </c>
      <c r="AA204" s="22">
        <f>$C204*((1+'Main calculations'!$C$239/100)^(AA199-2016))</f>
        <v>232033.18529848068</v>
      </c>
      <c r="AB204" s="225"/>
      <c r="AC204" s="225" t="s">
        <v>950</v>
      </c>
    </row>
    <row r="205" spans="1:29" s="27" customFormat="1" ht="11.6">
      <c r="A205" s="70"/>
      <c r="C205" s="53"/>
      <c r="D205" s="53"/>
    </row>
    <row r="206" spans="1:29" s="27" customFormat="1" ht="11.6">
      <c r="A206" s="30"/>
      <c r="C206" s="53"/>
    </row>
    <row r="207" spans="1:29" s="27" customFormat="1" ht="11.6">
      <c r="A207" s="27" t="s">
        <v>650</v>
      </c>
      <c r="B207" s="27">
        <v>11</v>
      </c>
      <c r="C207" s="27" t="s">
        <v>887</v>
      </c>
    </row>
    <row r="208" spans="1:29" s="27" customFormat="1" ht="12" thickBot="1">
      <c r="C208" s="27" t="s">
        <v>578</v>
      </c>
    </row>
    <row r="209" spans="1:29" s="27" customFormat="1" ht="12" thickBot="1">
      <c r="A209" s="14"/>
      <c r="B209" s="14" t="s">
        <v>91</v>
      </c>
      <c r="C209" s="15">
        <v>2016</v>
      </c>
      <c r="D209" s="15">
        <v>2017</v>
      </c>
      <c r="E209" s="15">
        <v>2018</v>
      </c>
      <c r="F209" s="15">
        <v>2019</v>
      </c>
      <c r="G209" s="15">
        <v>2020</v>
      </c>
      <c r="H209" s="15">
        <v>2021</v>
      </c>
      <c r="I209" s="15">
        <v>2022</v>
      </c>
      <c r="J209" s="15">
        <v>2023</v>
      </c>
      <c r="K209" s="15">
        <v>2024</v>
      </c>
      <c r="L209" s="15">
        <v>2025</v>
      </c>
      <c r="M209" s="15">
        <v>2026</v>
      </c>
      <c r="N209" s="15">
        <v>2027</v>
      </c>
      <c r="O209" s="15">
        <v>2028</v>
      </c>
      <c r="P209" s="15">
        <v>2029</v>
      </c>
      <c r="Q209" s="15">
        <v>2030</v>
      </c>
      <c r="R209" s="15">
        <v>2031</v>
      </c>
      <c r="S209" s="15">
        <v>2032</v>
      </c>
      <c r="T209" s="15">
        <v>2033</v>
      </c>
      <c r="U209" s="15">
        <v>2034</v>
      </c>
      <c r="V209" s="15">
        <v>2035</v>
      </c>
      <c r="W209" s="15">
        <v>2036</v>
      </c>
      <c r="X209" s="15">
        <v>2037</v>
      </c>
      <c r="Y209" s="15">
        <v>2038</v>
      </c>
      <c r="Z209" s="15">
        <v>2039</v>
      </c>
      <c r="AA209" s="15">
        <v>2040</v>
      </c>
      <c r="AB209" s="292"/>
      <c r="AC209" s="292" t="s">
        <v>828</v>
      </c>
    </row>
    <row r="210" spans="1:29" s="27" customFormat="1" ht="11.6">
      <c r="A210" s="197" t="s">
        <v>563</v>
      </c>
      <c r="B210" s="216" t="s">
        <v>15</v>
      </c>
      <c r="C210" s="230" t="s">
        <v>47</v>
      </c>
      <c r="D210" s="230" t="s">
        <v>47</v>
      </c>
      <c r="E210" s="37">
        <f t="shared" ref="E210:AA210" si="118">0.1*E212</f>
        <v>159.44290279352643</v>
      </c>
      <c r="F210" s="37">
        <f t="shared" si="118"/>
        <v>163.10564374806722</v>
      </c>
      <c r="G210" s="37">
        <f t="shared" si="118"/>
        <v>167.17254922172972</v>
      </c>
      <c r="H210" s="37">
        <f t="shared" si="118"/>
        <v>174.94607276054015</v>
      </c>
      <c r="I210" s="37">
        <f t="shared" si="118"/>
        <v>183.08106514390528</v>
      </c>
      <c r="J210" s="37">
        <f t="shared" si="118"/>
        <v>191.59433467309688</v>
      </c>
      <c r="K210" s="37">
        <f t="shared" si="118"/>
        <v>200.50347123539586</v>
      </c>
      <c r="L210" s="37">
        <f t="shared" si="118"/>
        <v>209.82688264784179</v>
      </c>
      <c r="M210" s="37">
        <f t="shared" si="118"/>
        <v>219.58383269096646</v>
      </c>
      <c r="N210" s="37">
        <f t="shared" si="118"/>
        <v>229.7944809110964</v>
      </c>
      <c r="O210" s="37">
        <f t="shared" si="118"/>
        <v>240.47992427346236</v>
      </c>
      <c r="P210" s="37">
        <f t="shared" si="118"/>
        <v>251.66224075217835</v>
      </c>
      <c r="Q210" s="37">
        <f t="shared" si="118"/>
        <v>263.3645349471546</v>
      </c>
      <c r="R210" s="37">
        <f t="shared" si="118"/>
        <v>275.61098582219728</v>
      </c>
      <c r="S210" s="37">
        <f t="shared" si="118"/>
        <v>288.42689666292944</v>
      </c>
      <c r="T210" s="37">
        <f t="shared" si="118"/>
        <v>301.83874735775566</v>
      </c>
      <c r="U210" s="37">
        <f t="shared" si="118"/>
        <v>315.87424910989131</v>
      </c>
      <c r="V210" s="37">
        <f t="shared" si="118"/>
        <v>330.56240169350127</v>
      </c>
      <c r="W210" s="37">
        <f t="shared" si="118"/>
        <v>345.93355337224909</v>
      </c>
      <c r="X210" s="37">
        <f t="shared" si="118"/>
        <v>362.01946360405867</v>
      </c>
      <c r="Y210" s="37">
        <f t="shared" si="118"/>
        <v>378.85336866164738</v>
      </c>
      <c r="Z210" s="37">
        <f t="shared" si="118"/>
        <v>396.47005030441397</v>
      </c>
      <c r="AA210" s="37">
        <f t="shared" si="118"/>
        <v>414.90590764356921</v>
      </c>
    </row>
    <row r="211" spans="1:29" s="27" customFormat="1" ht="11.6">
      <c r="A211" s="240" t="s">
        <v>959</v>
      </c>
      <c r="B211" s="216" t="s">
        <v>15</v>
      </c>
      <c r="C211" s="230" t="s">
        <v>47</v>
      </c>
      <c r="D211" s="230" t="s">
        <v>47</v>
      </c>
      <c r="E211" s="53">
        <f>E212*0.9*'Main calculations'!$C$247</f>
        <v>423.3209069168127</v>
      </c>
      <c r="F211" s="53">
        <f>F212*0.9*'Main calculations'!$C$247</f>
        <v>433.04548415111844</v>
      </c>
      <c r="G211" s="53">
        <f>G212*0.9*'Main calculations'!$C$247</f>
        <v>443.84311818369247</v>
      </c>
      <c r="H211" s="53">
        <f>H212*0.9*'Main calculations'!$C$247</f>
        <v>464.48182317923414</v>
      </c>
      <c r="I211" s="53">
        <f>I212*0.9*'Main calculations'!$C$247</f>
        <v>486.08022795706853</v>
      </c>
      <c r="J211" s="53">
        <f>J212*0.9*'Main calculations'!$C$247</f>
        <v>508.68295855707225</v>
      </c>
      <c r="K211" s="53">
        <f>K212*0.9*'Main calculations'!$C$247</f>
        <v>532.33671612997614</v>
      </c>
      <c r="L211" s="53">
        <f>L212*0.9*'Main calculations'!$C$247</f>
        <v>557.09037343002001</v>
      </c>
      <c r="M211" s="53">
        <f>M212*0.9*'Main calculations'!$C$247</f>
        <v>582.99507579451597</v>
      </c>
      <c r="N211" s="53">
        <f>N212*0.9*'Main calculations'!$C$247</f>
        <v>610.10434681896106</v>
      </c>
      <c r="O211" s="53">
        <f>O212*0.9*'Main calculations'!$C$247</f>
        <v>638.47419894604275</v>
      </c>
      <c r="P211" s="53">
        <f>P212*0.9*'Main calculations'!$C$247</f>
        <v>668.16324919703356</v>
      </c>
      <c r="Q211" s="53">
        <f>Q212*0.9*'Main calculations'!$C$247</f>
        <v>699.23284028469561</v>
      </c>
      <c r="R211" s="53">
        <f>R212*0.9*'Main calculations'!$C$247</f>
        <v>731.7471673579339</v>
      </c>
      <c r="S211" s="53">
        <f>S212*0.9*'Main calculations'!$C$247</f>
        <v>765.77341064007783</v>
      </c>
      <c r="T211" s="53">
        <f>T212*0.9*'Main calculations'!$C$247</f>
        <v>801.38187423484146</v>
      </c>
      <c r="U211" s="53">
        <f>U212*0.9*'Main calculations'!$C$247</f>
        <v>838.64613138676157</v>
      </c>
      <c r="V211" s="53">
        <f>V212*0.9*'Main calculations'!$C$247</f>
        <v>877.64317649624593</v>
      </c>
      <c r="W211" s="53">
        <f>W212*0.9*'Main calculations'!$C$247</f>
        <v>918.45358420332138</v>
      </c>
      <c r="X211" s="53">
        <f>X212*0.9*'Main calculations'!$C$247</f>
        <v>961.16167586877577</v>
      </c>
      <c r="Y211" s="53">
        <f>Y212*0.9*'Main calculations'!$C$247</f>
        <v>1005.8556937966738</v>
      </c>
      <c r="Z211" s="53">
        <f>Z212*0.9*'Main calculations'!$C$247</f>
        <v>1052.6279835582193</v>
      </c>
      <c r="AA211" s="53">
        <f>AA212*0.9*'Main calculations'!$C$247</f>
        <v>1101.5751847936765</v>
      </c>
      <c r="AC211" s="27" t="s">
        <v>960</v>
      </c>
    </row>
    <row r="212" spans="1:29" s="27" customFormat="1" ht="11.6">
      <c r="A212" s="197" t="s">
        <v>562</v>
      </c>
      <c r="B212" s="216" t="s">
        <v>15</v>
      </c>
      <c r="C212" s="37">
        <f>C216*C215</f>
        <v>1529.5101020513348</v>
      </c>
      <c r="D212" s="37">
        <f>D215*$C$216</f>
        <v>1560.0750438099165</v>
      </c>
      <c r="E212" s="37">
        <f>E215*$C$216</f>
        <v>1594.4290279352642</v>
      </c>
      <c r="F212" s="37">
        <f>F215*$C$216</f>
        <v>1631.056437480672</v>
      </c>
      <c r="G212" s="37">
        <f>G215*$C$216</f>
        <v>1671.7254922172972</v>
      </c>
      <c r="H212" s="37">
        <f>G212*(1+('Main calculations'!$C$239)/100)</f>
        <v>1749.4607276054014</v>
      </c>
      <c r="I212" s="37">
        <f>H212*(1+('Main calculations'!$C$239)/100)</f>
        <v>1830.8106514390527</v>
      </c>
      <c r="J212" s="37">
        <f>I212*(1+('Main calculations'!$C$239)/100)</f>
        <v>1915.9433467309686</v>
      </c>
      <c r="K212" s="37">
        <f>J212*(1+('Main calculations'!$C$239)/100)</f>
        <v>2005.0347123539586</v>
      </c>
      <c r="L212" s="37">
        <f>K212*(1+('Main calculations'!$C$239)/100)</f>
        <v>2098.2688264784179</v>
      </c>
      <c r="M212" s="37">
        <f>L212*(1+('Main calculations'!$C$239)/100)</f>
        <v>2195.8383269096644</v>
      </c>
      <c r="N212" s="37">
        <f>M212*(1+('Main calculations'!$C$239)/100)</f>
        <v>2297.9448091109639</v>
      </c>
      <c r="O212" s="37">
        <f>N212*(1+('Main calculations'!$C$239)/100)</f>
        <v>2404.7992427346235</v>
      </c>
      <c r="P212" s="37">
        <f>O212*(1+('Main calculations'!$C$239)/100)</f>
        <v>2516.6224075217833</v>
      </c>
      <c r="Q212" s="37">
        <f>P212*(1+('Main calculations'!$C$239)/100)</f>
        <v>2633.6453494715461</v>
      </c>
      <c r="R212" s="37">
        <f>Q212*(1+('Main calculations'!$C$239)/100)</f>
        <v>2756.1098582219729</v>
      </c>
      <c r="S212" s="37">
        <f>R212*(1+('Main calculations'!$C$239)/100)</f>
        <v>2884.2689666292945</v>
      </c>
      <c r="T212" s="37">
        <f>S212*(1+('Main calculations'!$C$239)/100)</f>
        <v>3018.3874735775566</v>
      </c>
      <c r="U212" s="37">
        <f>T212*(1+('Main calculations'!$C$239)/100)</f>
        <v>3158.742491098913</v>
      </c>
      <c r="V212" s="37">
        <f>U212*(1+('Main calculations'!$C$239)/100)</f>
        <v>3305.6240169350126</v>
      </c>
      <c r="W212" s="37">
        <f>V212*(1+('Main calculations'!$C$239)/100)</f>
        <v>3459.3355337224907</v>
      </c>
      <c r="X212" s="37">
        <f>W212*(1+('Main calculations'!$C$239)/100)</f>
        <v>3620.1946360405864</v>
      </c>
      <c r="Y212" s="37">
        <f>X212*(1+('Main calculations'!$C$239)/100)</f>
        <v>3788.5336866164735</v>
      </c>
      <c r="Z212" s="37">
        <f>Y212*(1+('Main calculations'!$C$239)/100)</f>
        <v>3964.7005030441396</v>
      </c>
      <c r="AA212" s="37">
        <f>Z212*(1+('Main calculations'!$C$239)/100)</f>
        <v>4149.0590764356921</v>
      </c>
      <c r="AC212" s="27" t="s">
        <v>691</v>
      </c>
    </row>
    <row r="213" spans="1:29" s="27" customFormat="1" ht="11.6">
      <c r="A213" s="233"/>
      <c r="B213" s="233"/>
      <c r="C213" s="232"/>
      <c r="D213" s="232"/>
      <c r="E213" s="37"/>
      <c r="F213" s="37"/>
      <c r="G213" s="37"/>
      <c r="H213" s="37"/>
      <c r="I213" s="37"/>
      <c r="J213" s="37"/>
      <c r="K213" s="37"/>
      <c r="L213" s="37"/>
      <c r="M213" s="37"/>
      <c r="N213" s="37"/>
      <c r="O213" s="37"/>
      <c r="P213" s="37"/>
      <c r="Q213" s="37"/>
      <c r="R213" s="37"/>
      <c r="S213" s="37"/>
      <c r="T213" s="37"/>
      <c r="U213" s="37"/>
      <c r="V213" s="37"/>
      <c r="W213" s="37"/>
      <c r="X213" s="37"/>
      <c r="Y213" s="37"/>
      <c r="Z213" s="37"/>
      <c r="AA213" s="37"/>
    </row>
    <row r="214" spans="1:29" s="27" customFormat="1" ht="11.6">
      <c r="B214" s="216"/>
      <c r="C214" s="27" t="s">
        <v>80</v>
      </c>
      <c r="D214" s="27" t="s">
        <v>564</v>
      </c>
      <c r="E214" s="27" t="s">
        <v>565</v>
      </c>
      <c r="F214" s="27" t="s">
        <v>566</v>
      </c>
      <c r="G214" s="27" t="s">
        <v>567</v>
      </c>
    </row>
    <row r="215" spans="1:29" s="27" customFormat="1" ht="11.6">
      <c r="A215" s="27" t="s">
        <v>79</v>
      </c>
      <c r="B215" s="216" t="s">
        <v>15</v>
      </c>
      <c r="C215" s="27">
        <v>6055</v>
      </c>
      <c r="D215" s="27">
        <v>6176</v>
      </c>
      <c r="E215" s="27">
        <v>6312</v>
      </c>
      <c r="F215" s="27">
        <v>6457</v>
      </c>
      <c r="G215" s="27">
        <v>6618</v>
      </c>
      <c r="AC215" s="27" t="s">
        <v>690</v>
      </c>
    </row>
    <row r="216" spans="1:29" s="27" customFormat="1" ht="11.6">
      <c r="A216" s="27" t="s">
        <v>692</v>
      </c>
      <c r="B216" s="216" t="s">
        <v>7</v>
      </c>
      <c r="C216" s="68">
        <f>C218/SUM(C217:C218)</f>
        <v>0.2526028244510875</v>
      </c>
      <c r="D216" s="54"/>
      <c r="E216" s="54"/>
      <c r="F216" s="54"/>
    </row>
    <row r="217" spans="1:29" s="27" customFormat="1" ht="11.6">
      <c r="A217" s="27" t="s">
        <v>81</v>
      </c>
      <c r="B217" s="216" t="s">
        <v>15</v>
      </c>
      <c r="C217" s="38">
        <v>14.500999999999999</v>
      </c>
      <c r="AC217" s="27" t="s">
        <v>972</v>
      </c>
    </row>
    <row r="218" spans="1:29" s="27" customFormat="1" ht="12" thickBot="1">
      <c r="A218" s="225" t="s">
        <v>82</v>
      </c>
      <c r="B218" s="234" t="s">
        <v>15</v>
      </c>
      <c r="C218" s="249">
        <v>4.9009999999999998</v>
      </c>
      <c r="D218" s="225"/>
      <c r="E218" s="225"/>
      <c r="F218" s="225"/>
      <c r="G218" s="225"/>
      <c r="H218" s="225"/>
      <c r="I218" s="225"/>
      <c r="J218" s="225"/>
      <c r="K218" s="225"/>
      <c r="L218" s="225"/>
      <c r="M218" s="225"/>
      <c r="N218" s="225"/>
      <c r="O218" s="225"/>
      <c r="P218" s="225"/>
      <c r="Q218" s="225"/>
      <c r="R218" s="225"/>
      <c r="S218" s="225"/>
      <c r="T218" s="225"/>
      <c r="U218" s="225"/>
      <c r="V218" s="225"/>
      <c r="W218" s="225"/>
      <c r="X218" s="225"/>
      <c r="Y218" s="225"/>
      <c r="Z218" s="225"/>
      <c r="AA218" s="225"/>
      <c r="AB218" s="225"/>
      <c r="AC218" s="225" t="s">
        <v>972</v>
      </c>
    </row>
    <row r="219" spans="1:29" s="27" customFormat="1" ht="11.6">
      <c r="A219" s="233"/>
      <c r="B219" s="233"/>
      <c r="C219" s="232"/>
      <c r="D219" s="232"/>
      <c r="E219" s="37"/>
      <c r="F219" s="37"/>
      <c r="G219" s="37"/>
      <c r="H219" s="37"/>
      <c r="I219" s="37"/>
      <c r="J219" s="37"/>
      <c r="K219" s="37"/>
      <c r="L219" s="37"/>
      <c r="M219" s="37"/>
      <c r="N219" s="37"/>
      <c r="O219" s="37"/>
      <c r="P219" s="37"/>
      <c r="Q219" s="37"/>
      <c r="R219" s="37"/>
      <c r="S219" s="37"/>
      <c r="T219" s="37"/>
      <c r="U219" s="37"/>
      <c r="V219" s="37"/>
      <c r="W219" s="37"/>
      <c r="X219" s="37"/>
      <c r="Y219" s="37"/>
      <c r="Z219" s="37"/>
      <c r="AA219" s="37"/>
    </row>
    <row r="220" spans="1:29" s="27" customFormat="1" ht="11.6">
      <c r="A220" s="233"/>
      <c r="B220" s="233"/>
      <c r="C220" s="232"/>
      <c r="D220" s="232"/>
      <c r="E220" s="37"/>
      <c r="F220" s="37"/>
      <c r="G220" s="37"/>
      <c r="H220" s="37"/>
      <c r="I220" s="37"/>
      <c r="J220" s="37"/>
      <c r="K220" s="37"/>
      <c r="L220" s="37"/>
      <c r="M220" s="37"/>
      <c r="N220" s="37"/>
      <c r="O220" s="37"/>
      <c r="P220" s="37"/>
      <c r="Q220" s="37"/>
      <c r="R220" s="37"/>
      <c r="S220" s="37"/>
      <c r="T220" s="37"/>
      <c r="U220" s="37"/>
      <c r="V220" s="37"/>
      <c r="W220" s="37"/>
      <c r="X220" s="37"/>
      <c r="Y220" s="37"/>
      <c r="Z220" s="37"/>
      <c r="AA220" s="37"/>
    </row>
    <row r="221" spans="1:29" ht="20.149999999999999">
      <c r="A221" s="74" t="s">
        <v>718</v>
      </c>
    </row>
    <row r="222" spans="1:29" s="27" customFormat="1" ht="12" thickBot="1">
      <c r="A222" s="27" t="s">
        <v>650</v>
      </c>
      <c r="B222" s="27">
        <v>12</v>
      </c>
      <c r="C222" s="27" t="s">
        <v>711</v>
      </c>
    </row>
    <row r="223" spans="1:29" s="27" customFormat="1" ht="12" thickBot="1">
      <c r="A223" s="14"/>
      <c r="B223" s="14" t="s">
        <v>91</v>
      </c>
      <c r="C223" s="15">
        <v>2016</v>
      </c>
      <c r="D223" s="15">
        <v>2017</v>
      </c>
      <c r="E223" s="15">
        <v>2018</v>
      </c>
      <c r="F223" s="15">
        <v>2019</v>
      </c>
      <c r="G223" s="15">
        <v>2020</v>
      </c>
      <c r="H223" s="15">
        <v>2021</v>
      </c>
      <c r="I223" s="15">
        <v>2022</v>
      </c>
      <c r="J223" s="15">
        <v>2023</v>
      </c>
      <c r="K223" s="15">
        <v>2024</v>
      </c>
      <c r="L223" s="15">
        <v>2025</v>
      </c>
      <c r="M223" s="15">
        <v>2026</v>
      </c>
      <c r="N223" s="15">
        <v>2027</v>
      </c>
      <c r="O223" s="15">
        <v>2028</v>
      </c>
      <c r="P223" s="15">
        <v>2029</v>
      </c>
      <c r="Q223" s="15">
        <v>2030</v>
      </c>
      <c r="R223" s="15">
        <v>2031</v>
      </c>
      <c r="S223" s="15">
        <v>2032</v>
      </c>
      <c r="T223" s="15">
        <v>2033</v>
      </c>
      <c r="U223" s="15">
        <v>2034</v>
      </c>
      <c r="V223" s="15">
        <v>2035</v>
      </c>
      <c r="W223" s="15">
        <v>2036</v>
      </c>
      <c r="X223" s="15">
        <v>2037</v>
      </c>
      <c r="Y223" s="15">
        <v>2038</v>
      </c>
      <c r="Z223" s="15">
        <v>2039</v>
      </c>
      <c r="AA223" s="15">
        <v>2040</v>
      </c>
      <c r="AB223" s="292"/>
      <c r="AC223" s="292" t="s">
        <v>828</v>
      </c>
    </row>
    <row r="224" spans="1:29" s="27" customFormat="1" ht="11.6">
      <c r="A224" s="278" t="s">
        <v>703</v>
      </c>
      <c r="B224" s="164"/>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row>
    <row r="225" spans="1:31" s="27" customFormat="1" ht="11.6">
      <c r="A225" s="27" t="s">
        <v>136</v>
      </c>
      <c r="B225" s="216" t="s">
        <v>50</v>
      </c>
      <c r="C225" s="250">
        <v>24.300243999999999</v>
      </c>
      <c r="D225" s="51">
        <v>24.675416999999999</v>
      </c>
      <c r="E225" s="51">
        <v>25.050104999999999</v>
      </c>
      <c r="F225" s="51">
        <v>25.423590000000001</v>
      </c>
      <c r="G225" s="38">
        <v>25.795045999999999</v>
      </c>
      <c r="H225" s="53">
        <v>26.163643</v>
      </c>
      <c r="I225" s="53">
        <v>26.528518999999999</v>
      </c>
      <c r="J225" s="53">
        <v>26.888838999999997</v>
      </c>
      <c r="K225" s="53">
        <v>27.243912000000005</v>
      </c>
      <c r="L225" s="53">
        <v>27.599349999999998</v>
      </c>
      <c r="M225" s="53">
        <v>27.954897999999996</v>
      </c>
      <c r="N225" s="53">
        <v>28.310329999999997</v>
      </c>
      <c r="O225" s="53">
        <v>28.665461000000004</v>
      </c>
      <c r="P225" s="38">
        <v>29.020241000000002</v>
      </c>
      <c r="Q225" s="38">
        <v>29.374648999999998</v>
      </c>
      <c r="R225" s="38">
        <v>29.728712999999999</v>
      </c>
      <c r="S225" s="38">
        <v>30.082573</v>
      </c>
      <c r="T225" s="38">
        <v>30.436412000000004</v>
      </c>
      <c r="U225" s="38">
        <v>30.790474000000003</v>
      </c>
      <c r="V225" s="38">
        <v>31.14507</v>
      </c>
      <c r="W225" s="38">
        <v>31.500512000000001</v>
      </c>
      <c r="X225" s="38">
        <v>31.857126000000004</v>
      </c>
      <c r="Y225" s="38">
        <v>32.215207999999997</v>
      </c>
      <c r="Z225" s="38">
        <v>32.57508</v>
      </c>
      <c r="AA225" s="38">
        <v>32.937162999999998</v>
      </c>
      <c r="AC225" s="27" t="s">
        <v>574</v>
      </c>
      <c r="AE225" s="221"/>
    </row>
    <row r="226" spans="1:31" s="27" customFormat="1" ht="11.6">
      <c r="A226" s="27" t="s">
        <v>953</v>
      </c>
      <c r="B226" s="236" t="s">
        <v>55</v>
      </c>
      <c r="C226" s="53">
        <f>SUM('ABS Health Survey'!B14:H15)</f>
        <v>2748.3999999999996</v>
      </c>
      <c r="D226" s="53">
        <f t="shared" ref="D226:AA226" si="119">C226/C225*D225</f>
        <v>2790.832720971855</v>
      </c>
      <c r="E226" s="53">
        <f t="shared" si="119"/>
        <v>2833.2105875973916</v>
      </c>
      <c r="F226" s="53">
        <f t="shared" si="119"/>
        <v>2875.4523928237099</v>
      </c>
      <c r="G226" s="53">
        <f t="shared" si="119"/>
        <v>2917.4647146094499</v>
      </c>
      <c r="H226" s="53">
        <f t="shared" si="119"/>
        <v>2959.1536785062735</v>
      </c>
      <c r="I226" s="53">
        <f t="shared" si="119"/>
        <v>3000.4217908100018</v>
      </c>
      <c r="J226" s="53">
        <f t="shared" si="119"/>
        <v>3041.174611563571</v>
      </c>
      <c r="K226" s="53">
        <f t="shared" si="119"/>
        <v>3081.3339874611966</v>
      </c>
      <c r="L226" s="53">
        <f t="shared" si="119"/>
        <v>3121.5346454957407</v>
      </c>
      <c r="M226" s="53">
        <f t="shared" si="119"/>
        <v>3161.7477447222341</v>
      </c>
      <c r="N226" s="53">
        <f t="shared" si="119"/>
        <v>3201.9477241463087</v>
      </c>
      <c r="O226" s="53">
        <f t="shared" si="119"/>
        <v>3242.1136599451438</v>
      </c>
      <c r="P226" s="53">
        <f t="shared" si="119"/>
        <v>3282.2398970314871</v>
      </c>
      <c r="Q226" s="53">
        <f t="shared" si="119"/>
        <v>3322.3240602686951</v>
      </c>
      <c r="R226" s="53">
        <f t="shared" si="119"/>
        <v>3362.3693165056288</v>
      </c>
      <c r="S226" s="53">
        <f t="shared" si="119"/>
        <v>3402.3914999865847</v>
      </c>
      <c r="T226" s="53">
        <f t="shared" si="119"/>
        <v>3442.4113083308966</v>
      </c>
      <c r="U226" s="53">
        <f t="shared" si="119"/>
        <v>3482.4563383643399</v>
      </c>
      <c r="V226" s="53">
        <f t="shared" si="119"/>
        <v>3522.5617647296053</v>
      </c>
      <c r="W226" s="53">
        <f t="shared" si="119"/>
        <v>3562.7628751711304</v>
      </c>
      <c r="X226" s="53">
        <f t="shared" si="119"/>
        <v>3603.0965408577799</v>
      </c>
      <c r="Y226" s="53">
        <f t="shared" si="119"/>
        <v>3643.5962399060681</v>
      </c>
      <c r="Z226" s="53">
        <f t="shared" si="119"/>
        <v>3684.2983910778839</v>
      </c>
      <c r="AA226" s="53">
        <f t="shared" si="119"/>
        <v>3725.2506102078646</v>
      </c>
      <c r="AC226" s="27" t="s">
        <v>967</v>
      </c>
    </row>
    <row r="227" spans="1:31" s="27" customFormat="1" ht="11.6">
      <c r="B227" s="236"/>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row>
    <row r="228" spans="1:31" s="27" customFormat="1" ht="11.6">
      <c r="A228" s="19" t="s">
        <v>704</v>
      </c>
      <c r="B228" s="216"/>
    </row>
    <row r="229" spans="1:31" s="27" customFormat="1" ht="11.6">
      <c r="A229" s="27" t="s">
        <v>135</v>
      </c>
      <c r="B229" s="216" t="s">
        <v>15</v>
      </c>
      <c r="C229" s="27">
        <v>1692668</v>
      </c>
      <c r="D229" s="53">
        <f t="shared" ref="D229:AA229" si="120">$C229*((1+$C$233/100)^(D223-2016))</f>
        <v>1728214.0279999999</v>
      </c>
      <c r="E229" s="53">
        <f t="shared" si="120"/>
        <v>1764506.5225879995</v>
      </c>
      <c r="F229" s="53">
        <f t="shared" si="120"/>
        <v>1801561.1595623475</v>
      </c>
      <c r="G229" s="53">
        <f t="shared" si="120"/>
        <v>1839393.9439131564</v>
      </c>
      <c r="H229" s="53">
        <f t="shared" si="120"/>
        <v>1878021.2167353325</v>
      </c>
      <c r="I229" s="53">
        <f t="shared" si="120"/>
        <v>1917459.6622867743</v>
      </c>
      <c r="J229" s="53">
        <f t="shared" si="120"/>
        <v>1957726.3151947963</v>
      </c>
      <c r="K229" s="53">
        <f t="shared" si="120"/>
        <v>1998838.5678138868</v>
      </c>
      <c r="L229" s="53">
        <f t="shared" si="120"/>
        <v>2040814.1777379781</v>
      </c>
      <c r="M229" s="53">
        <f t="shared" si="120"/>
        <v>2083671.2754704752</v>
      </c>
      <c r="N229" s="53">
        <f t="shared" si="120"/>
        <v>2127428.3722553551</v>
      </c>
      <c r="O229" s="53">
        <f t="shared" si="120"/>
        <v>2172104.368072717</v>
      </c>
      <c r="P229" s="53">
        <f t="shared" si="120"/>
        <v>2217718.559802244</v>
      </c>
      <c r="Q229" s="53">
        <f t="shared" si="120"/>
        <v>2264290.6495580911</v>
      </c>
      <c r="R229" s="53">
        <f t="shared" si="120"/>
        <v>2311840.7531988104</v>
      </c>
      <c r="S229" s="53">
        <f t="shared" si="120"/>
        <v>2360389.4090159852</v>
      </c>
      <c r="T229" s="53">
        <f t="shared" si="120"/>
        <v>2409957.5866053212</v>
      </c>
      <c r="U229" s="53">
        <f t="shared" si="120"/>
        <v>2460566.695924032</v>
      </c>
      <c r="V229" s="53">
        <f t="shared" si="120"/>
        <v>2512238.5965384366</v>
      </c>
      <c r="W229" s="53">
        <f t="shared" si="120"/>
        <v>2564995.6070657433</v>
      </c>
      <c r="X229" s="53">
        <f t="shared" si="120"/>
        <v>2618860.5148141235</v>
      </c>
      <c r="Y229" s="53">
        <f t="shared" si="120"/>
        <v>2673856.5856252201</v>
      </c>
      <c r="Z229" s="53">
        <f t="shared" si="120"/>
        <v>2730007.5739233494</v>
      </c>
      <c r="AA229" s="53">
        <f t="shared" si="120"/>
        <v>2787337.7329757395</v>
      </c>
      <c r="AC229" s="27" t="s">
        <v>696</v>
      </c>
    </row>
    <row r="230" spans="1:31" s="27" customFormat="1" ht="11.6">
      <c r="A230" s="27" t="s">
        <v>545</v>
      </c>
      <c r="B230" s="216" t="s">
        <v>2</v>
      </c>
      <c r="C230" s="27">
        <f t="shared" ref="C230:AA230" si="121">C229/C225</f>
        <v>69656.419910845347</v>
      </c>
      <c r="D230" s="27">
        <f t="shared" si="121"/>
        <v>70037.885398248793</v>
      </c>
      <c r="E230" s="27">
        <f t="shared" si="121"/>
        <v>70439.086885583893</v>
      </c>
      <c r="F230" s="27">
        <f t="shared" si="121"/>
        <v>70861.792514839457</v>
      </c>
      <c r="G230" s="27">
        <f t="shared" si="121"/>
        <v>71308.031158896032</v>
      </c>
      <c r="H230" s="27">
        <f t="shared" si="121"/>
        <v>71779.805921344072</v>
      </c>
      <c r="I230" s="27">
        <f t="shared" si="121"/>
        <v>72279.182350389572</v>
      </c>
      <c r="J230" s="27">
        <f t="shared" si="121"/>
        <v>72808.13854383213</v>
      </c>
      <c r="K230" s="27">
        <f t="shared" si="121"/>
        <v>73368.265461064715</v>
      </c>
      <c r="L230" s="27">
        <f t="shared" si="121"/>
        <v>73944.284113139554</v>
      </c>
      <c r="M230" s="27">
        <f t="shared" si="121"/>
        <v>74536.894231217564</v>
      </c>
      <c r="N230" s="27">
        <f t="shared" si="121"/>
        <v>75146.717549931607</v>
      </c>
      <c r="O230" s="27">
        <f t="shared" si="121"/>
        <v>75774.269531988917</v>
      </c>
      <c r="P230" s="27">
        <f t="shared" si="121"/>
        <v>76419.715460055755</v>
      </c>
      <c r="Q230" s="27">
        <f t="shared" si="121"/>
        <v>77083.155940283454</v>
      </c>
      <c r="R230" s="27">
        <f t="shared" si="121"/>
        <v>77764.575721754605</v>
      </c>
      <c r="S230" s="27">
        <f t="shared" si="121"/>
        <v>78463.680916389203</v>
      </c>
      <c r="T230" s="27">
        <f t="shared" si="121"/>
        <v>79180.081627404725</v>
      </c>
      <c r="U230" s="27">
        <f t="shared" si="121"/>
        <v>79913.245113538418</v>
      </c>
      <c r="V230" s="27">
        <f t="shared" si="121"/>
        <v>80662.480339213769</v>
      </c>
      <c r="W230" s="27">
        <f t="shared" si="121"/>
        <v>81427.108456705188</v>
      </c>
      <c r="X230" s="27">
        <f t="shared" si="121"/>
        <v>82206.427372454229</v>
      </c>
      <c r="Y230" s="27">
        <f t="shared" si="121"/>
        <v>82999.823736206221</v>
      </c>
      <c r="Z230" s="27">
        <f t="shared" si="121"/>
        <v>83806.626842462079</v>
      </c>
      <c r="AA230" s="27">
        <f t="shared" si="121"/>
        <v>84625.920361621305</v>
      </c>
    </row>
    <row r="231" spans="1:31" s="27" customFormat="1" ht="11.6">
      <c r="B231" s="23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row>
    <row r="232" spans="1:31" s="27" customFormat="1" ht="11.6">
      <c r="A232" s="19"/>
      <c r="B232" s="216"/>
      <c r="C232" s="27" t="s">
        <v>707</v>
      </c>
    </row>
    <row r="233" spans="1:31" s="27" customFormat="1" ht="11.6">
      <c r="A233" s="27" t="s">
        <v>697</v>
      </c>
      <c r="B233" s="27" t="s">
        <v>7</v>
      </c>
      <c r="C233" s="216">
        <v>2.1</v>
      </c>
      <c r="AC233" s="27" t="s">
        <v>622</v>
      </c>
    </row>
    <row r="234" spans="1:31" s="27" customFormat="1" ht="11.6">
      <c r="C234" s="233"/>
    </row>
    <row r="235" spans="1:31" s="27" customFormat="1" ht="11.6">
      <c r="A235" s="19" t="s">
        <v>705</v>
      </c>
      <c r="B235" s="23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row>
    <row r="236" spans="1:31" s="27" customFormat="1" ht="11.6">
      <c r="A236" s="33" t="s">
        <v>143</v>
      </c>
      <c r="B236" s="216" t="s">
        <v>15</v>
      </c>
      <c r="C236" s="52">
        <f>'AIHW Health spending &amp; PC ests'!C31</f>
        <v>173172.52479999998</v>
      </c>
      <c r="D236" s="53">
        <f>$C236*((1+'Main calculations'!$C$239/100)^('Main calculations'!D199-2016))</f>
        <v>181225.04720319997</v>
      </c>
      <c r="E236" s="53">
        <f>$C236*((1+'Main calculations'!$C$239/100)^('Main calculations'!E199-2016))</f>
        <v>189652.01189814878</v>
      </c>
      <c r="F236" s="53">
        <f>$C236*((1+'Main calculations'!$C$239/100)^('Main calculations'!F199-2016))</f>
        <v>198470.83045141271</v>
      </c>
      <c r="G236" s="53">
        <f>$C236*((1+'Main calculations'!$C$239/100)^('Main calculations'!G199-2016))</f>
        <v>207699.72406740338</v>
      </c>
      <c r="H236" s="53">
        <f>$C236*((1+'Main calculations'!$C$239/100)^('Main calculations'!H199-2016))</f>
        <v>217357.76123653766</v>
      </c>
      <c r="I236" s="53">
        <f>$C236*((1+'Main calculations'!$C$239/100)^('Main calculations'!I199-2016))</f>
        <v>227464.89713403664</v>
      </c>
      <c r="J236" s="53">
        <f>$C236*((1+'Main calculations'!$C$239/100)^('Main calculations'!J199-2016))</f>
        <v>238042.01485076937</v>
      </c>
      <c r="K236" s="53">
        <f>$C236*((1+'Main calculations'!$C$239/100)^('Main calculations'!K199-2016))</f>
        <v>249110.9685413301</v>
      </c>
      <c r="L236" s="53">
        <f>$C236*((1+'Main calculations'!$C$239/100)^('Main calculations'!L199-2016))</f>
        <v>260694.62857850196</v>
      </c>
      <c r="M236" s="53">
        <f>$C236*((1+'Main calculations'!$C$239/100)^('Main calculations'!M199-2016))</f>
        <v>272816.92880740232</v>
      </c>
      <c r="N236" s="53">
        <f>$C236*((1+'Main calculations'!$C$239/100)^('Main calculations'!N199-2016))</f>
        <v>285502.91599694651</v>
      </c>
      <c r="O236" s="53">
        <f>$C236*((1+'Main calculations'!$C$239/100)^('Main calculations'!O199-2016))</f>
        <v>298778.80159080448</v>
      </c>
      <c r="P236" s="53">
        <f>$C236*((1+'Main calculations'!$C$239/100)^('Main calculations'!P199-2016))</f>
        <v>312672.01586477691</v>
      </c>
      <c r="Q236" s="53">
        <f>$C236*((1+'Main calculations'!$C$239/100)^('Main calculations'!Q199-2016))</f>
        <v>327211.26460248907</v>
      </c>
      <c r="R236" s="53">
        <f>$C236*((1+'Main calculations'!$C$239/100)^('Main calculations'!R199-2016))</f>
        <v>342426.58840650477</v>
      </c>
      <c r="S236" s="53">
        <f>$C236*((1+'Main calculations'!$C$239/100)^('Main calculations'!S199-2016))</f>
        <v>358349.4247674073</v>
      </c>
      <c r="T236" s="53">
        <f>$C236*((1+'Main calculations'!$C$239/100)^('Main calculations'!T199-2016))</f>
        <v>375012.67301909177</v>
      </c>
      <c r="U236" s="53">
        <f>$C236*((1+'Main calculations'!$C$239/100)^('Main calculations'!U199-2016))</f>
        <v>392450.76231447951</v>
      </c>
      <c r="V236" s="53">
        <f>$C236*((1+'Main calculations'!$C$239/100)^('Main calculations'!V199-2016))</f>
        <v>410699.72276210279</v>
      </c>
      <c r="W236" s="53">
        <f>$C236*((1+'Main calculations'!$C$239/100)^('Main calculations'!W199-2016))</f>
        <v>429797.25987054053</v>
      </c>
      <c r="X236" s="53">
        <f>$C236*((1+'Main calculations'!$C$239/100)^('Main calculations'!X199-2016))</f>
        <v>449782.83245452069</v>
      </c>
      <c r="Y236" s="53">
        <f>$C236*((1+'Main calculations'!$C$239/100)^('Main calculations'!Y199-2016))</f>
        <v>470697.7341636559</v>
      </c>
      <c r="Z236" s="53">
        <f>$C236*((1+'Main calculations'!$C$239/100)^('Main calculations'!Z199-2016))</f>
        <v>492585.1788022659</v>
      </c>
      <c r="AA236" s="53">
        <f>$C236*((1+'Main calculations'!$C$239/100)^('Main calculations'!AA199-2016))</f>
        <v>515490.38961657125</v>
      </c>
      <c r="AC236" s="33" t="s">
        <v>677</v>
      </c>
    </row>
    <row r="237" spans="1:31" s="27" customFormat="1" ht="11.6">
      <c r="A237" s="33"/>
      <c r="B237" s="233"/>
      <c r="C237" s="52"/>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C237" s="33"/>
    </row>
    <row r="238" spans="1:31" s="27" customFormat="1" ht="11.6">
      <c r="A238" s="241"/>
      <c r="B238" s="241"/>
      <c r="C238" s="248" t="s">
        <v>708</v>
      </c>
      <c r="D238" s="242"/>
      <c r="E238" s="242"/>
      <c r="F238" s="242"/>
      <c r="G238" s="190"/>
      <c r="H238" s="190"/>
      <c r="I238" s="190"/>
      <c r="J238" s="190"/>
      <c r="K238" s="190"/>
      <c r="L238" s="190"/>
      <c r="M238" s="190"/>
      <c r="N238" s="190"/>
      <c r="O238" s="190"/>
      <c r="P238" s="190"/>
      <c r="Q238" s="190"/>
      <c r="R238" s="190"/>
      <c r="S238" s="190"/>
      <c r="T238" s="190"/>
      <c r="U238" s="190"/>
      <c r="V238" s="190"/>
      <c r="W238" s="190"/>
      <c r="X238" s="190"/>
      <c r="Y238" s="190"/>
      <c r="Z238" s="190"/>
      <c r="AA238" s="190"/>
      <c r="AB238" s="39"/>
    </row>
    <row r="239" spans="1:31" s="27" customFormat="1" ht="11.6">
      <c r="A239" s="39" t="s">
        <v>685</v>
      </c>
      <c r="B239" s="39" t="s">
        <v>7</v>
      </c>
      <c r="C239" s="39">
        <v>4.6500000000000004</v>
      </c>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C239" s="27" t="s">
        <v>706</v>
      </c>
    </row>
    <row r="240" spans="1:31" s="27" customFormat="1">
      <c r="A240" s="39" t="s">
        <v>709</v>
      </c>
      <c r="B240" s="39" t="s">
        <v>7</v>
      </c>
      <c r="C240" s="39">
        <v>2.2999999999999998</v>
      </c>
      <c r="D240" s="39"/>
      <c r="E240" s="39"/>
      <c r="F240" s="1"/>
      <c r="G240" s="39"/>
      <c r="H240" s="39"/>
      <c r="I240" s="39"/>
      <c r="J240" s="39"/>
      <c r="K240" s="39"/>
      <c r="L240" s="39"/>
      <c r="M240" s="39"/>
      <c r="N240" s="39"/>
      <c r="O240" s="39"/>
      <c r="P240" s="39"/>
      <c r="Q240" s="39"/>
      <c r="R240" s="39"/>
      <c r="S240" s="39"/>
      <c r="T240" s="39"/>
      <c r="U240" s="39"/>
      <c r="V240" s="39"/>
      <c r="W240" s="39"/>
      <c r="X240" s="39"/>
      <c r="Y240" s="39"/>
      <c r="Z240" s="39"/>
      <c r="AA240" s="39"/>
      <c r="AC240" s="39" t="s">
        <v>710</v>
      </c>
    </row>
    <row r="241" spans="1:29" s="27" customFormat="1" ht="11.6">
      <c r="A241" s="27" t="s">
        <v>716</v>
      </c>
      <c r="B241" s="39" t="s">
        <v>7</v>
      </c>
      <c r="C241" s="27">
        <v>7.14</v>
      </c>
      <c r="AC241" s="27" t="s">
        <v>717</v>
      </c>
    </row>
    <row r="242" spans="1:29" s="27" customFormat="1">
      <c r="A242" s="39"/>
      <c r="B242" s="39"/>
      <c r="C242" s="39"/>
      <c r="D242" s="39"/>
      <c r="E242" s="39"/>
      <c r="F242" s="1"/>
      <c r="G242" s="39"/>
      <c r="H242" s="39"/>
      <c r="I242" s="39"/>
      <c r="J242" s="39"/>
      <c r="K242" s="39"/>
      <c r="L242" s="39"/>
      <c r="M242" s="39"/>
      <c r="N242" s="39"/>
      <c r="O242" s="39"/>
      <c r="P242" s="39"/>
      <c r="Q242" s="39"/>
      <c r="R242" s="39"/>
      <c r="S242" s="39"/>
      <c r="T242" s="39"/>
      <c r="U242" s="39"/>
      <c r="V242" s="39"/>
      <c r="W242" s="39"/>
      <c r="X242" s="39"/>
      <c r="Y242" s="39"/>
      <c r="Z242" s="39"/>
      <c r="AA242" s="39"/>
      <c r="AC242" s="39"/>
    </row>
    <row r="243" spans="1:29" s="27" customFormat="1" ht="11.6">
      <c r="A243" s="19" t="s">
        <v>560</v>
      </c>
      <c r="B243" s="216"/>
    </row>
    <row r="244" spans="1:29" s="27" customFormat="1" ht="11.6">
      <c r="A244" s="27" t="s">
        <v>561</v>
      </c>
      <c r="B244" s="216" t="s">
        <v>4</v>
      </c>
      <c r="C244" s="27">
        <v>0.1</v>
      </c>
      <c r="AC244" s="27" t="s">
        <v>973</v>
      </c>
    </row>
    <row r="245" spans="1:29" s="27" customFormat="1" ht="11.6">
      <c r="B245" s="216"/>
    </row>
    <row r="246" spans="1:29" s="27" customFormat="1" ht="11.6">
      <c r="A246" s="19" t="s">
        <v>962</v>
      </c>
      <c r="B246" s="216"/>
    </row>
    <row r="247" spans="1:29" s="27" customFormat="1" ht="12" thickBot="1">
      <c r="A247" s="225" t="s">
        <v>961</v>
      </c>
      <c r="B247" s="234" t="s">
        <v>4</v>
      </c>
      <c r="C247" s="225">
        <f>AVERAGE(0.2,0.39)</f>
        <v>0.29500000000000004</v>
      </c>
      <c r="D247" s="225"/>
      <c r="E247" s="225"/>
      <c r="F247" s="225"/>
      <c r="G247" s="225"/>
      <c r="H247" s="225"/>
      <c r="I247" s="225"/>
      <c r="J247" s="225"/>
      <c r="K247" s="225"/>
      <c r="L247" s="225"/>
      <c r="M247" s="225"/>
      <c r="N247" s="225"/>
      <c r="O247" s="225"/>
      <c r="P247" s="225"/>
      <c r="Q247" s="225"/>
      <c r="R247" s="225"/>
      <c r="S247" s="225"/>
      <c r="T247" s="225"/>
      <c r="U247" s="225"/>
      <c r="V247" s="225"/>
      <c r="W247" s="225"/>
      <c r="X247" s="225"/>
      <c r="Y247" s="225"/>
      <c r="Z247" s="225"/>
      <c r="AA247" s="225"/>
      <c r="AB247" s="225"/>
      <c r="AC247" s="225" t="s">
        <v>559</v>
      </c>
    </row>
    <row r="248" spans="1:29" s="27" customFormat="1" ht="11.6"/>
    <row r="249" spans="1:29" s="27" customFormat="1">
      <c r="A249" s="9" t="s">
        <v>714</v>
      </c>
      <c r="B249" s="233"/>
      <c r="C249" s="52"/>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C249" s="33"/>
    </row>
    <row r="250" spans="1:29" s="27" customFormat="1" ht="11.6"/>
    <row r="251" spans="1:29" s="27" customFormat="1" ht="11.6">
      <c r="B251" s="216"/>
    </row>
    <row r="252" spans="1:29" s="27" customFormat="1" ht="11.6"/>
    <row r="285" spans="2:2" s="27" customFormat="1" ht="11.6">
      <c r="B285" s="216"/>
    </row>
    <row r="286" spans="2:2" s="27" customFormat="1" ht="11.6">
      <c r="B286" s="216"/>
    </row>
    <row r="287" spans="2:2" s="27" customFormat="1" ht="11.6">
      <c r="B287" s="216"/>
    </row>
    <row r="288" spans="2:2" s="27" customFormat="1" ht="11.6"/>
    <row r="289" s="27" customFormat="1" ht="11.6"/>
    <row r="290" s="27" customFormat="1" ht="11.6"/>
    <row r="291" s="27" customFormat="1" ht="11.6"/>
    <row r="292" s="27" customFormat="1" ht="11.6"/>
    <row r="293" s="27" customFormat="1" ht="11.6"/>
    <row r="294" s="27" customFormat="1" ht="11.6"/>
    <row r="295" s="27" customFormat="1" ht="11.6"/>
    <row r="296" s="27" customFormat="1" ht="11.6"/>
    <row r="297" s="27" customFormat="1" ht="11.6"/>
    <row r="298" s="27" customFormat="1" ht="11.6"/>
    <row r="299" s="27" customFormat="1" ht="11.6"/>
    <row r="300" s="27" customFormat="1" ht="11.6"/>
    <row r="301" s="27" customFormat="1" ht="11.6"/>
  </sheetData>
  <hyperlinks>
    <hyperlink ref="AC60" location="'Background to calculations'!B2" display="Based on uptake of health pathways (see background table 1.1)"/>
    <hyperlink ref="AC62" location="'Summary tables'!B54" display="The assumed rates of effectiveness are based on reductions in hospitalisation reported in Australian integrated care studies (table 6)."/>
    <hyperlink ref="C2" location="'Main calculations'!B68" display="4 (welfare)"/>
    <hyperlink ref="D2" location="'Main calculations'!B110" display="5 (time)"/>
    <hyperlink ref="E2" location="'Main calculations'!B122" display="6 (workforce)"/>
    <hyperlink ref="F2" location="'Main calculations'!B149" display="7&amp;8 (recurrent)"/>
    <hyperlink ref="G2" location="'Main calculations'!B174" display="9 (capital)"/>
    <hyperlink ref="L2" location="'Main calculations'!B198" display="10 (low value)"/>
    <hyperlink ref="Q2" location="'Main calculations'!B207" display="11 (PHI)"/>
    <hyperlink ref="AA2" location="'Main calculations'!B221" display="12 (Annual inputs: pop, gdp, etc)"/>
    <hyperlink ref="A3" location="Contents!A1" display="(return to contents)"/>
    <hyperlink ref="A249" location="'Inputs into calculations'!A1" display="Inputs into calculations continued on next sheet …"/>
    <hyperlink ref="AC75" location="'Main calculations'!C84" display="Based on the net personal welfare gain for days spent in hospital. This value is scaled up by four to estimate net personal welfare gains for those in fair or poor health (because the number of people in poor or fair health is four times the number of day"/>
    <hyperlink ref="B2" location="'Main calculations'!B57" display="3 (health)"/>
  </hyperlink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K301"/>
  <sheetViews>
    <sheetView zoomScale="119" zoomScaleNormal="120" workbookViewId="0">
      <pane xSplit="2" ySplit="3" topLeftCell="C182" activePane="bottomRight" state="frozen"/>
      <selection pane="topRight" activeCell="C1" sqref="C1"/>
      <selection pane="bottomLeft" activeCell="A3" sqref="A3"/>
      <selection pane="bottomRight" activeCell="A3" sqref="A3"/>
    </sheetView>
  </sheetViews>
  <sheetFormatPr defaultColWidth="8.69140625" defaultRowHeight="14.6"/>
  <cols>
    <col min="1" max="1" width="41.69140625" style="161" customWidth="1"/>
    <col min="2" max="2" width="17.07421875" style="161" bestFit="1" customWidth="1"/>
    <col min="3" max="3" width="8.3046875" style="161" customWidth="1"/>
    <col min="4" max="4" width="8" style="161" customWidth="1"/>
    <col min="5" max="7" width="8.69140625" style="161" customWidth="1"/>
    <col min="8" max="11" width="0.69140625" style="161" customWidth="1"/>
    <col min="12" max="12" width="8.69140625" style="161" customWidth="1"/>
    <col min="13" max="16" width="0.53515625" style="161" customWidth="1"/>
    <col min="17" max="17" width="8.69140625" style="161" customWidth="1"/>
    <col min="18" max="20" width="0.69140625" style="161" customWidth="1"/>
    <col min="21" max="21" width="0.53515625" style="161" customWidth="1"/>
    <col min="22" max="26" width="0.69140625" style="161" customWidth="1"/>
    <col min="27" max="27" width="8.69140625" style="161" customWidth="1"/>
    <col min="28" max="28" width="0.84375" style="161" customWidth="1"/>
    <col min="29" max="29" width="11.3046875" style="161" customWidth="1"/>
    <col min="30" max="30" width="9.84375" style="161" customWidth="1"/>
    <col min="31" max="31" width="8.69140625" style="161"/>
    <col min="32" max="32" width="10" style="161" customWidth="1"/>
    <col min="33" max="33" width="1.3046875" style="161" customWidth="1"/>
    <col min="34" max="34" width="10.69140625" style="161" customWidth="1"/>
    <col min="35" max="16384" width="8.69140625" style="161"/>
  </cols>
  <sheetData>
    <row r="1" spans="1:37" ht="20.149999999999999">
      <c r="A1" s="74" t="s">
        <v>889</v>
      </c>
      <c r="H1" s="308"/>
      <c r="I1" s="308"/>
      <c r="J1" s="308"/>
      <c r="K1" s="308"/>
      <c r="AD1" s="308"/>
      <c r="AE1" s="308"/>
    </row>
    <row r="2" spans="1:37" s="12" customFormat="1">
      <c r="A2" s="344" t="s">
        <v>1094</v>
      </c>
      <c r="B2" s="342" t="s">
        <v>797</v>
      </c>
      <c r="C2" s="342" t="s">
        <v>798</v>
      </c>
      <c r="D2" s="342" t="s">
        <v>799</v>
      </c>
      <c r="E2" s="342" t="s">
        <v>800</v>
      </c>
      <c r="F2" s="342" t="s">
        <v>801</v>
      </c>
      <c r="G2" s="342" t="s">
        <v>802</v>
      </c>
      <c r="H2" s="27"/>
      <c r="I2" s="27"/>
      <c r="J2" s="27"/>
      <c r="K2" s="27"/>
      <c r="L2" s="342" t="s">
        <v>803</v>
      </c>
      <c r="M2" s="27"/>
      <c r="N2" s="27"/>
      <c r="O2" s="27"/>
      <c r="P2" s="27"/>
      <c r="Q2" s="27"/>
      <c r="R2"/>
      <c r="S2"/>
      <c r="T2"/>
      <c r="U2"/>
      <c r="V2"/>
      <c r="W2"/>
      <c r="X2"/>
      <c r="Y2"/>
      <c r="Z2"/>
      <c r="AA2"/>
      <c r="AB2"/>
      <c r="AC2"/>
      <c r="AD2"/>
      <c r="AE2" s="27"/>
      <c r="AF2" s="27"/>
    </row>
    <row r="3" spans="1:37">
      <c r="A3" s="9" t="s">
        <v>820</v>
      </c>
    </row>
    <row r="4" spans="1:37" ht="15.45">
      <c r="A4" s="93"/>
    </row>
    <row r="5" spans="1:37" s="27" customFormat="1" ht="15" thickBot="1">
      <c r="A5" s="27" t="s">
        <v>650</v>
      </c>
      <c r="B5" s="230">
        <v>1</v>
      </c>
      <c r="C5" s="27" t="s">
        <v>789</v>
      </c>
      <c r="J5" s="54"/>
      <c r="K5" s="54"/>
      <c r="L5" s="54"/>
      <c r="M5" s="54"/>
      <c r="N5" s="54"/>
      <c r="O5" s="54"/>
      <c r="P5" s="54"/>
      <c r="Q5" s="54"/>
      <c r="R5" s="54"/>
      <c r="S5" s="54"/>
      <c r="T5" s="54"/>
      <c r="U5" s="54"/>
      <c r="V5" s="54"/>
      <c r="W5" s="54"/>
      <c r="X5" s="54"/>
      <c r="Y5" s="54"/>
      <c r="Z5" s="54"/>
      <c r="AA5" s="54"/>
      <c r="AC5"/>
      <c r="AD5"/>
      <c r="AE5"/>
      <c r="AF5"/>
      <c r="AG5"/>
      <c r="AH5"/>
      <c r="AI5"/>
      <c r="AJ5"/>
      <c r="AK5"/>
    </row>
    <row r="6" spans="1:37" s="27" customFormat="1" ht="15" thickBot="1">
      <c r="A6" s="14"/>
      <c r="B6" s="14" t="s">
        <v>91</v>
      </c>
      <c r="C6" s="15">
        <v>2016</v>
      </c>
      <c r="D6" s="15">
        <v>2017</v>
      </c>
      <c r="E6" s="15">
        <v>2018</v>
      </c>
      <c r="F6" s="15">
        <v>2019</v>
      </c>
      <c r="G6" s="15">
        <v>2020</v>
      </c>
      <c r="H6" s="15">
        <v>2021</v>
      </c>
      <c r="I6" s="15">
        <v>2022</v>
      </c>
      <c r="J6" s="15">
        <v>2023</v>
      </c>
      <c r="K6" s="15">
        <v>2024</v>
      </c>
      <c r="L6" s="15">
        <v>2025</v>
      </c>
      <c r="M6" s="15">
        <v>2026</v>
      </c>
      <c r="N6" s="15">
        <v>2027</v>
      </c>
      <c r="O6" s="15">
        <v>2028</v>
      </c>
      <c r="P6" s="15">
        <v>2029</v>
      </c>
      <c r="Q6" s="15">
        <v>2030</v>
      </c>
      <c r="R6" s="15">
        <v>2031</v>
      </c>
      <c r="S6" s="15">
        <v>2032</v>
      </c>
      <c r="T6" s="15">
        <v>2033</v>
      </c>
      <c r="U6" s="15">
        <v>2034</v>
      </c>
      <c r="V6" s="15">
        <v>2035</v>
      </c>
      <c r="W6" s="15">
        <v>2036</v>
      </c>
      <c r="X6" s="15">
        <v>2037</v>
      </c>
      <c r="Y6" s="15">
        <v>2038</v>
      </c>
      <c r="Z6" s="15">
        <v>2039</v>
      </c>
      <c r="AA6" s="15">
        <v>2040</v>
      </c>
      <c r="AB6" s="292"/>
      <c r="AC6"/>
      <c r="AD6"/>
      <c r="AE6"/>
      <c r="AF6"/>
      <c r="AG6"/>
      <c r="AH6"/>
      <c r="AI6"/>
      <c r="AJ6"/>
      <c r="AK6"/>
    </row>
    <row r="7" spans="1:37" s="27" customFormat="1" ht="23.15">
      <c r="A7" s="366" t="s">
        <v>523</v>
      </c>
      <c r="B7" s="263" t="s">
        <v>7</v>
      </c>
      <c r="C7" s="253" t="s">
        <v>47</v>
      </c>
      <c r="D7" s="253" t="s">
        <v>47</v>
      </c>
      <c r="E7" s="253" t="s">
        <v>47</v>
      </c>
      <c r="F7" s="253" t="s">
        <v>47</v>
      </c>
      <c r="G7" s="254">
        <f t="shared" ref="G7:AA7" si="0">G59</f>
        <v>4.5</v>
      </c>
      <c r="H7" s="254">
        <f t="shared" si="0"/>
        <v>8.5</v>
      </c>
      <c r="I7" s="254">
        <f t="shared" si="0"/>
        <v>12.5</v>
      </c>
      <c r="J7" s="254">
        <f t="shared" si="0"/>
        <v>16.5</v>
      </c>
      <c r="K7" s="254">
        <f t="shared" si="0"/>
        <v>20</v>
      </c>
      <c r="L7" s="254">
        <f t="shared" si="0"/>
        <v>23.5</v>
      </c>
      <c r="M7" s="254">
        <f t="shared" si="0"/>
        <v>27</v>
      </c>
      <c r="N7" s="254">
        <f t="shared" si="0"/>
        <v>30.5</v>
      </c>
      <c r="O7" s="254">
        <f t="shared" si="0"/>
        <v>33.999999999999993</v>
      </c>
      <c r="P7" s="254">
        <f t="shared" si="0"/>
        <v>37.5</v>
      </c>
      <c r="Q7" s="254">
        <f t="shared" si="0"/>
        <v>37.5</v>
      </c>
      <c r="R7" s="254">
        <f t="shared" si="0"/>
        <v>37.5</v>
      </c>
      <c r="S7" s="254">
        <f t="shared" si="0"/>
        <v>37.5</v>
      </c>
      <c r="T7" s="254">
        <f t="shared" si="0"/>
        <v>37.5</v>
      </c>
      <c r="U7" s="254">
        <f t="shared" si="0"/>
        <v>37.5</v>
      </c>
      <c r="V7" s="254">
        <f t="shared" si="0"/>
        <v>37.5</v>
      </c>
      <c r="W7" s="254">
        <f t="shared" si="0"/>
        <v>37.5</v>
      </c>
      <c r="X7" s="254">
        <f t="shared" si="0"/>
        <v>37.5</v>
      </c>
      <c r="Y7" s="254">
        <f t="shared" si="0"/>
        <v>37.5</v>
      </c>
      <c r="Z7" s="254">
        <f t="shared" si="0"/>
        <v>37.5</v>
      </c>
      <c r="AA7" s="254">
        <f t="shared" si="0"/>
        <v>35.25</v>
      </c>
      <c r="AC7"/>
      <c r="AD7"/>
      <c r="AE7"/>
      <c r="AF7"/>
      <c r="AG7"/>
      <c r="AH7"/>
      <c r="AI7"/>
      <c r="AJ7"/>
      <c r="AK7"/>
    </row>
    <row r="8" spans="1:37" s="27" customFormat="1">
      <c r="A8" s="366" t="s">
        <v>581</v>
      </c>
      <c r="B8" s="263" t="s">
        <v>15</v>
      </c>
      <c r="C8" s="253" t="s">
        <v>47</v>
      </c>
      <c r="D8" s="253" t="s">
        <v>47</v>
      </c>
      <c r="E8" s="253" t="s">
        <v>47</v>
      </c>
      <c r="F8" s="253" t="s">
        <v>47</v>
      </c>
      <c r="G8" s="254">
        <f>G71</f>
        <v>35.408305835317101</v>
      </c>
      <c r="H8" s="254">
        <f t="shared" ref="H8:AA8" si="1">H71</f>
        <v>68.286884931510968</v>
      </c>
      <c r="I8" s="254">
        <f t="shared" si="1"/>
        <v>102.53074928687161</v>
      </c>
      <c r="J8" s="254">
        <f t="shared" si="1"/>
        <v>138.18274142890263</v>
      </c>
      <c r="K8" s="254">
        <f t="shared" si="1"/>
        <v>171.01161090776912</v>
      </c>
      <c r="L8" s="254">
        <f t="shared" si="1"/>
        <v>205.15835431577796</v>
      </c>
      <c r="M8" s="254">
        <f t="shared" si="1"/>
        <v>240.66384482651273</v>
      </c>
      <c r="N8" s="254">
        <f t="shared" si="1"/>
        <v>277.57009110444511</v>
      </c>
      <c r="O8" s="254">
        <f t="shared" si="1"/>
        <v>315.9202669704822</v>
      </c>
      <c r="P8" s="254">
        <f t="shared" si="1"/>
        <v>355.75874181271575</v>
      </c>
      <c r="Q8" s="254">
        <f t="shared" si="1"/>
        <v>363.22967539078286</v>
      </c>
      <c r="R8" s="254">
        <f t="shared" si="1"/>
        <v>370.85749857398912</v>
      </c>
      <c r="S8" s="254">
        <f t="shared" si="1"/>
        <v>378.6455060440428</v>
      </c>
      <c r="T8" s="254">
        <f t="shared" si="1"/>
        <v>386.59706167096766</v>
      </c>
      <c r="U8" s="254">
        <f t="shared" si="1"/>
        <v>394.71559996605799</v>
      </c>
      <c r="V8" s="254">
        <f t="shared" si="1"/>
        <v>403.00462756534529</v>
      </c>
      <c r="W8" s="254">
        <f t="shared" si="1"/>
        <v>411.46772474421743</v>
      </c>
      <c r="X8" s="254">
        <f t="shared" si="1"/>
        <v>420.10854696384592</v>
      </c>
      <c r="Y8" s="254">
        <f t="shared" si="1"/>
        <v>428.93082645008667</v>
      </c>
      <c r="Z8" s="254">
        <f t="shared" si="1"/>
        <v>437.93837380553845</v>
      </c>
      <c r="AA8" s="254">
        <f t="shared" si="1"/>
        <v>420.30697487612741</v>
      </c>
      <c r="AC8"/>
      <c r="AD8"/>
      <c r="AE8"/>
      <c r="AF8"/>
      <c r="AG8"/>
      <c r="AH8"/>
      <c r="AI8"/>
      <c r="AJ8"/>
      <c r="AK8"/>
    </row>
    <row r="9" spans="1:37" s="27" customFormat="1">
      <c r="A9" s="366" t="s">
        <v>582</v>
      </c>
      <c r="B9" s="263" t="s">
        <v>15</v>
      </c>
      <c r="C9" s="253" t="s">
        <v>47</v>
      </c>
      <c r="D9" s="253" t="s">
        <v>47</v>
      </c>
      <c r="E9" s="253" t="s">
        <v>47</v>
      </c>
      <c r="F9" s="253" t="s">
        <v>47</v>
      </c>
      <c r="G9" s="255">
        <f t="shared" ref="G9:AA9" si="2">G114+G118</f>
        <v>55.1112195452789</v>
      </c>
      <c r="H9" s="255">
        <f t="shared" si="2"/>
        <v>104.7876902485762</v>
      </c>
      <c r="I9" s="255">
        <f t="shared" si="2"/>
        <v>155.17162428689721</v>
      </c>
      <c r="J9" s="255">
        <f t="shared" si="2"/>
        <v>206.32551327138941</v>
      </c>
      <c r="K9" s="255">
        <f t="shared" si="2"/>
        <v>252.01553315898704</v>
      </c>
      <c r="L9" s="255">
        <f t="shared" si="2"/>
        <v>298.44309361243018</v>
      </c>
      <c r="M9" s="255">
        <f t="shared" si="2"/>
        <v>345.64009765293247</v>
      </c>
      <c r="N9" s="255">
        <f t="shared" si="2"/>
        <v>393.63972220768323</v>
      </c>
      <c r="O9" s="255">
        <f t="shared" si="2"/>
        <v>442.47601857441725</v>
      </c>
      <c r="P9" s="255">
        <f t="shared" si="2"/>
        <v>492.18202212059674</v>
      </c>
      <c r="Q9" s="255">
        <f t="shared" si="2"/>
        <v>496.45491786679725</v>
      </c>
      <c r="R9" s="255">
        <f t="shared" si="2"/>
        <v>500.84360950138932</v>
      </c>
      <c r="S9" s="255">
        <f t="shared" si="2"/>
        <v>505.34620423494493</v>
      </c>
      <c r="T9" s="255">
        <f t="shared" si="2"/>
        <v>509.96019093292676</v>
      </c>
      <c r="U9" s="255">
        <f t="shared" si="2"/>
        <v>514.68213846934339</v>
      </c>
      <c r="V9" s="255">
        <f t="shared" si="2"/>
        <v>519.50759622192595</v>
      </c>
      <c r="W9" s="255">
        <f t="shared" si="2"/>
        <v>524.43219206439403</v>
      </c>
      <c r="X9" s="255">
        <f t="shared" si="2"/>
        <v>529.45140415542414</v>
      </c>
      <c r="Y9" s="255">
        <f t="shared" si="2"/>
        <v>534.56128220592143</v>
      </c>
      <c r="Z9" s="255">
        <f t="shared" si="2"/>
        <v>539.75750652970532</v>
      </c>
      <c r="AA9" s="255">
        <f t="shared" si="2"/>
        <v>512.33212496610406</v>
      </c>
      <c r="AC9"/>
      <c r="AD9"/>
      <c r="AE9"/>
      <c r="AF9"/>
      <c r="AG9"/>
      <c r="AH9"/>
      <c r="AI9"/>
      <c r="AJ9"/>
      <c r="AK9"/>
    </row>
    <row r="10" spans="1:37" s="27" customFormat="1">
      <c r="A10" s="366" t="s">
        <v>583</v>
      </c>
      <c r="B10" s="264" t="s">
        <v>15</v>
      </c>
      <c r="C10" s="253" t="s">
        <v>47</v>
      </c>
      <c r="D10" s="253" t="s">
        <v>47</v>
      </c>
      <c r="E10" s="253" t="s">
        <v>47</v>
      </c>
      <c r="F10" s="253" t="s">
        <v>47</v>
      </c>
      <c r="G10" s="256">
        <f t="shared" ref="G10:AA10" si="3">G125</f>
        <v>32.71817131222943</v>
      </c>
      <c r="H10" s="256">
        <f t="shared" si="3"/>
        <v>78.873513814773091</v>
      </c>
      <c r="I10" s="256">
        <f t="shared" si="3"/>
        <v>177.63939177547792</v>
      </c>
      <c r="J10" s="256">
        <f t="shared" si="3"/>
        <v>319.21088144486271</v>
      </c>
      <c r="K10" s="256">
        <f t="shared" si="3"/>
        <v>592.57147264582693</v>
      </c>
      <c r="L10" s="256">
        <f t="shared" si="3"/>
        <v>829.77962965486972</v>
      </c>
      <c r="M10" s="256">
        <f t="shared" si="3"/>
        <v>1136.1687329539216</v>
      </c>
      <c r="N10" s="256">
        <f t="shared" si="3"/>
        <v>1529.5478612944573</v>
      </c>
      <c r="O10" s="256">
        <f t="shared" si="3"/>
        <v>2032.0122008819299</v>
      </c>
      <c r="P10" s="256">
        <f t="shared" si="3"/>
        <v>2670.9319574911715</v>
      </c>
      <c r="Q10" s="256">
        <f t="shared" si="3"/>
        <v>2910.4114953646231</v>
      </c>
      <c r="R10" s="256">
        <f t="shared" si="3"/>
        <v>3171.3631073952733</v>
      </c>
      <c r="S10" s="256">
        <f t="shared" si="3"/>
        <v>3455.7120101285791</v>
      </c>
      <c r="T10" s="256">
        <f t="shared" si="3"/>
        <v>3765.5560377490647</v>
      </c>
      <c r="U10" s="256">
        <f t="shared" si="3"/>
        <v>4103.1811192220393</v>
      </c>
      <c r="V10" s="256">
        <f t="shared" si="3"/>
        <v>4278.5629673363446</v>
      </c>
      <c r="W10" s="256">
        <f t="shared" si="3"/>
        <v>4461.4411437272374</v>
      </c>
      <c r="X10" s="256">
        <f t="shared" si="3"/>
        <v>4652.13606318242</v>
      </c>
      <c r="Y10" s="256">
        <f t="shared" si="3"/>
        <v>4850.9818359458777</v>
      </c>
      <c r="Z10" s="256">
        <f t="shared" si="3"/>
        <v>5058.3268531013491</v>
      </c>
      <c r="AA10" s="256">
        <f t="shared" si="3"/>
        <v>4958.0623331581937</v>
      </c>
      <c r="AC10"/>
      <c r="AD10"/>
      <c r="AE10"/>
      <c r="AF10"/>
      <c r="AG10"/>
      <c r="AH10"/>
      <c r="AI10"/>
      <c r="AJ10"/>
      <c r="AK10"/>
    </row>
    <row r="11" spans="1:37" s="27" customFormat="1">
      <c r="A11" s="366" t="s">
        <v>699</v>
      </c>
      <c r="B11" s="264" t="s">
        <v>15</v>
      </c>
      <c r="C11" s="253" t="s">
        <v>47</v>
      </c>
      <c r="D11" s="253" t="s">
        <v>47</v>
      </c>
      <c r="E11" s="255">
        <f>'Main calculations'!E210+'Main calculations'!E211</f>
        <v>582.76380971033916</v>
      </c>
      <c r="F11" s="255">
        <f>'Main calculations'!F210+'Main calculations'!F211</f>
        <v>596.15112789918567</v>
      </c>
      <c r="G11" s="255">
        <f>G26+G38+G50+SUM('Main calculations'!G210,'Main calculations'!G211)</f>
        <v>3039.6841476388099</v>
      </c>
      <c r="H11" s="255">
        <f>H26+H38+H50+SUM('Main calculations'!H210,'Main calculations'!H211)</f>
        <v>5364.3626287359966</v>
      </c>
      <c r="I11" s="255">
        <f>I26+I38+I50+SUM('Main calculations'!I210,'Main calculations'!I211)</f>
        <v>7872.8057766938828</v>
      </c>
      <c r="J11" s="255">
        <f>J26+J38+J50+SUM('Main calculations'!J210,'Main calculations'!J211)</f>
        <v>10574.478364419972</v>
      </c>
      <c r="K11" s="255">
        <f>K26+K38+K50+SUM('Main calculations'!K210,'Main calculations'!K211)</f>
        <v>13107.001897331418</v>
      </c>
      <c r="L11" s="255">
        <f>L26+L38+L50+SUM('Main calculations'!L210,'Main calculations'!L211)</f>
        <v>15825.607495511036</v>
      </c>
      <c r="M11" s="255">
        <f>M26+M38+M50+SUM('Main calculations'!M210,'Main calculations'!M211)</f>
        <v>18740.581561667932</v>
      </c>
      <c r="N11" s="255">
        <f>N26+N38+N50+SUM('Main calculations'!N210,'Main calculations'!N211)</f>
        <v>21862.688050949215</v>
      </c>
      <c r="O11" s="255">
        <f>O26+O38+O50+SUM('Main calculations'!O210,'Main calculations'!O211)</f>
        <v>25203.204743776005</v>
      </c>
      <c r="P11" s="255">
        <f>P26+P38+P50+SUM('Main calculations'!P210,'Main calculations'!P211)</f>
        <v>28774.020943092561</v>
      </c>
      <c r="Q11" s="255">
        <f>Q26+Q38+Q50+SUM('Main calculations'!Q210,'Main calculations'!Q211)</f>
        <v>29925.77338322785</v>
      </c>
      <c r="R11" s="255">
        <f>R26+R38+R50+SUM('Main calculations'!R210,'Main calculations'!R211)</f>
        <v>31121.552987063424</v>
      </c>
      <c r="S11" s="255">
        <f>S26+S38+S50+SUM('Main calculations'!S210,'Main calculations'!S211)</f>
        <v>32363.177875585363</v>
      </c>
      <c r="T11" s="255">
        <f>T26+T38+T50+SUM('Main calculations'!T210,'Main calculations'!T211)</f>
        <v>33652.577229646755</v>
      </c>
      <c r="U11" s="255">
        <f>U26+U38+U50+SUM('Main calculations'!U210,'Main calculations'!U211)</f>
        <v>34991.812057480587</v>
      </c>
      <c r="V11" s="255">
        <f>V26+V38+V50+SUM('Main calculations'!V210,'Main calculations'!V211)</f>
        <v>36383.089257294057</v>
      </c>
      <c r="W11" s="255">
        <f>W26+W38+W50+SUM('Main calculations'!W210,'Main calculations'!W211)</f>
        <v>37828.720927322967</v>
      </c>
      <c r="X11" s="255">
        <f>X26+X38+X50+SUM('Main calculations'!X210,'Main calculations'!X211)</f>
        <v>39331.139816062903</v>
      </c>
      <c r="Y11" s="255">
        <f>Y26+Y38+Y50+SUM('Main calculations'!Y210,'Main calculations'!Y211)</f>
        <v>40892.869987499609</v>
      </c>
      <c r="Z11" s="255">
        <f>Z26+Z38+Z50+SUM('Main calculations'!Z210,'Main calculations'!Z211)</f>
        <v>42516.57623437413</v>
      </c>
      <c r="AA11" s="255">
        <f>AA26+AA38+AA50+SUM('Main calculations'!AA210,'Main calculations'!AA211)</f>
        <v>41119.755056578484</v>
      </c>
      <c r="AC11"/>
      <c r="AD11"/>
      <c r="AE11"/>
      <c r="AF11"/>
      <c r="AG11"/>
      <c r="AH11"/>
      <c r="AI11"/>
      <c r="AJ11"/>
      <c r="AK11"/>
    </row>
    <row r="12" spans="1:37" s="27" customFormat="1">
      <c r="A12" s="366" t="s">
        <v>197</v>
      </c>
      <c r="B12" s="264" t="s">
        <v>7</v>
      </c>
      <c r="C12" s="253" t="s">
        <v>47</v>
      </c>
      <c r="D12" s="253" t="s">
        <v>47</v>
      </c>
      <c r="E12" s="257">
        <f>100*E11/'Main calculations'!E236</f>
        <v>0.30728058399048686</v>
      </c>
      <c r="F12" s="257">
        <f>100*F11/'Main calculations'!F236</f>
        <v>0.30037216378007164</v>
      </c>
      <c r="G12" s="257">
        <f>100*G11/'Main calculations'!G236</f>
        <v>1.4634993673137293</v>
      </c>
      <c r="H12" s="257">
        <f>100*H11/'Main calculations'!H236</f>
        <v>2.4679876155414928</v>
      </c>
      <c r="I12" s="257">
        <f>100*I11/'Main calculations'!I236</f>
        <v>3.4611080109010093</v>
      </c>
      <c r="J12" s="257">
        <f>100*J11/'Main calculations'!J236</f>
        <v>4.442273928427805</v>
      </c>
      <c r="K12" s="257">
        <f>100*K11/'Main calculations'!K236</f>
        <v>5.2615113553929396</v>
      </c>
      <c r="L12" s="257">
        <f>100*L11/'Main calculations'!L236</f>
        <v>6.0705537286302516</v>
      </c>
      <c r="M12" s="257">
        <f>100*M11/'Main calculations'!M236</f>
        <v>6.8692883698936527</v>
      </c>
      <c r="N12" s="257">
        <f>100*N11/'Main calculations'!N236</f>
        <v>7.6576058687901591</v>
      </c>
      <c r="O12" s="257">
        <f>100*O11/'Main calculations'!O236</f>
        <v>8.4354059289297592</v>
      </c>
      <c r="P12" s="257">
        <f>100*P11/'Main calculations'!P236</f>
        <v>9.2026211119375088</v>
      </c>
      <c r="Q12" s="257">
        <f>100*Q11/'Main calculations'!Q236</f>
        <v>9.1457038985448822</v>
      </c>
      <c r="R12" s="257">
        <f>100*R11/'Main calculations'!R236</f>
        <v>9.088532853680773</v>
      </c>
      <c r="S12" s="257">
        <f>100*S11/'Main calculations'!S236</f>
        <v>9.0311789663374586</v>
      </c>
      <c r="T12" s="257">
        <f>100*T11/'Main calculations'!T236</f>
        <v>8.9737173303296647</v>
      </c>
      <c r="U12" s="257">
        <f>100*U11/'Main calculations'!U236</f>
        <v>8.9162298605604118</v>
      </c>
      <c r="V12" s="257">
        <f>100*V11/'Main calculations'!V236</f>
        <v>8.8588054096079603</v>
      </c>
      <c r="W12" s="257">
        <f>100*W11/'Main calculations'!W236</f>
        <v>8.8015267800258616</v>
      </c>
      <c r="X12" s="257">
        <f>100*X11/'Main calculations'!X236</f>
        <v>8.744473327589672</v>
      </c>
      <c r="Y12" s="257">
        <f>100*Y11/'Main calculations'!Y236</f>
        <v>8.6877133709085701</v>
      </c>
      <c r="Z12" s="257">
        <f>100*Z11/'Main calculations'!Z236</f>
        <v>8.6313145551302064</v>
      </c>
      <c r="AA12" s="257">
        <f>100*AA11/'Main calculations'!AA236</f>
        <v>7.9768228244107355</v>
      </c>
      <c r="AC12"/>
      <c r="AD12"/>
      <c r="AE12"/>
      <c r="AF12"/>
      <c r="AG12"/>
      <c r="AH12"/>
      <c r="AI12"/>
      <c r="AJ12"/>
      <c r="AK12"/>
    </row>
    <row r="13" spans="1:37" s="19" customFormat="1" ht="15" thickBot="1">
      <c r="A13" s="279" t="s">
        <v>571</v>
      </c>
      <c r="B13" s="394" t="s">
        <v>15</v>
      </c>
      <c r="C13" s="259" t="s">
        <v>47</v>
      </c>
      <c r="D13" s="259" t="s">
        <v>47</v>
      </c>
      <c r="E13" s="395">
        <f t="shared" ref="E13:AA13" si="4">SUM(E8:E9,E11,E10)</f>
        <v>582.76380971033916</v>
      </c>
      <c r="F13" s="395">
        <f t="shared" si="4"/>
        <v>596.15112789918567</v>
      </c>
      <c r="G13" s="395">
        <f t="shared" si="4"/>
        <v>3162.9218443316354</v>
      </c>
      <c r="H13" s="395">
        <f t="shared" si="4"/>
        <v>5616.3107177308566</v>
      </c>
      <c r="I13" s="395">
        <f t="shared" si="4"/>
        <v>8308.1475420431289</v>
      </c>
      <c r="J13" s="395">
        <f t="shared" si="4"/>
        <v>11238.197500565126</v>
      </c>
      <c r="K13" s="395">
        <f t="shared" si="4"/>
        <v>14122.600514044001</v>
      </c>
      <c r="L13" s="395">
        <f t="shared" si="4"/>
        <v>17158.988573094113</v>
      </c>
      <c r="M13" s="395">
        <f t="shared" si="4"/>
        <v>20463.054237101296</v>
      </c>
      <c r="N13" s="395">
        <f t="shared" si="4"/>
        <v>24063.445725555801</v>
      </c>
      <c r="O13" s="395">
        <f t="shared" si="4"/>
        <v>27993.613230202835</v>
      </c>
      <c r="P13" s="395">
        <f t="shared" si="4"/>
        <v>32292.893664517043</v>
      </c>
      <c r="Q13" s="395">
        <f t="shared" si="4"/>
        <v>33695.869471850056</v>
      </c>
      <c r="R13" s="395">
        <f t="shared" si="4"/>
        <v>35164.617202534078</v>
      </c>
      <c r="S13" s="395">
        <f t="shared" si="4"/>
        <v>36702.881595992927</v>
      </c>
      <c r="T13" s="395">
        <f t="shared" si="4"/>
        <v>38314.690519999713</v>
      </c>
      <c r="U13" s="395">
        <f t="shared" si="4"/>
        <v>40004.390915138029</v>
      </c>
      <c r="V13" s="395">
        <f t="shared" si="4"/>
        <v>41584.164448417672</v>
      </c>
      <c r="W13" s="395">
        <f t="shared" si="4"/>
        <v>43226.061987858811</v>
      </c>
      <c r="X13" s="395">
        <f t="shared" si="4"/>
        <v>44932.835830364595</v>
      </c>
      <c r="Y13" s="395">
        <f t="shared" si="4"/>
        <v>46707.343932101496</v>
      </c>
      <c r="Z13" s="395">
        <f t="shared" si="4"/>
        <v>48552.598967810729</v>
      </c>
      <c r="AA13" s="395">
        <f t="shared" si="4"/>
        <v>47010.456489578908</v>
      </c>
      <c r="AB13" s="387"/>
      <c r="AC13"/>
      <c r="AD13"/>
      <c r="AE13"/>
      <c r="AF13"/>
      <c r="AG13"/>
      <c r="AH13"/>
      <c r="AI13"/>
      <c r="AJ13"/>
      <c r="AK13"/>
    </row>
    <row r="14" spans="1:37" s="27" customFormat="1">
      <c r="A14" s="26" t="s">
        <v>643</v>
      </c>
      <c r="B14" s="26"/>
      <c r="C14" s="26"/>
      <c r="D14" s="26"/>
      <c r="E14" s="26"/>
      <c r="F14" s="26"/>
      <c r="AB14" s="68"/>
      <c r="AG14" s="161"/>
      <c r="AH14" s="161"/>
    </row>
    <row r="15" spans="1:37" s="27" customFormat="1" ht="11.6">
      <c r="A15" s="26" t="s">
        <v>85</v>
      </c>
      <c r="B15" s="26"/>
      <c r="C15" s="26"/>
      <c r="D15" s="26"/>
      <c r="E15" s="26"/>
      <c r="F15" s="26"/>
      <c r="AB15" s="68"/>
    </row>
    <row r="16" spans="1:37" s="27" customFormat="1">
      <c r="A16" s="27" t="s">
        <v>834</v>
      </c>
      <c r="B16" s="366"/>
      <c r="C16" s="367"/>
      <c r="D16" s="367"/>
      <c r="E16" s="38"/>
      <c r="F16" s="38"/>
      <c r="G16" s="38"/>
      <c r="H16" s="38"/>
      <c r="I16" s="38"/>
      <c r="J16" s="38"/>
      <c r="K16" s="38"/>
      <c r="L16" s="38"/>
      <c r="M16" s="38"/>
      <c r="N16" s="38"/>
      <c r="O16" s="38"/>
      <c r="P16" s="38"/>
      <c r="Q16" s="38"/>
      <c r="R16" s="38"/>
      <c r="S16" s="38"/>
      <c r="T16" s="38"/>
      <c r="U16" s="38"/>
      <c r="V16" s="38"/>
      <c r="W16" s="38"/>
      <c r="X16" s="38"/>
      <c r="Y16" s="38"/>
      <c r="Z16" s="38"/>
      <c r="AA16" s="38"/>
      <c r="AC16"/>
      <c r="AD16"/>
      <c r="AE16"/>
      <c r="AF16"/>
      <c r="AG16"/>
      <c r="AH16"/>
      <c r="AI16"/>
      <c r="AJ16"/>
      <c r="AK16"/>
    </row>
    <row r="17" spans="1:37" s="27" customFormat="1">
      <c r="A17" s="27" t="s">
        <v>835</v>
      </c>
      <c r="B17" s="366"/>
      <c r="C17" s="367"/>
      <c r="D17" s="367"/>
      <c r="E17" s="367"/>
      <c r="F17" s="367"/>
      <c r="G17" s="53"/>
      <c r="H17" s="53"/>
      <c r="I17" s="53"/>
      <c r="J17" s="53"/>
      <c r="K17" s="53"/>
      <c r="L17" s="53"/>
      <c r="M17" s="53"/>
      <c r="N17" s="53"/>
      <c r="O17" s="53"/>
      <c r="P17" s="53"/>
      <c r="Q17" s="53"/>
      <c r="R17" s="53"/>
      <c r="S17" s="53"/>
      <c r="T17" s="53"/>
      <c r="U17" s="53"/>
      <c r="V17" s="53"/>
      <c r="W17" s="53"/>
      <c r="X17" s="53"/>
      <c r="Y17" s="53"/>
      <c r="Z17" s="53"/>
      <c r="AA17" s="53"/>
      <c r="AC17"/>
      <c r="AD17"/>
      <c r="AE17"/>
      <c r="AF17"/>
      <c r="AG17"/>
      <c r="AH17"/>
      <c r="AI17"/>
      <c r="AJ17"/>
      <c r="AK17"/>
    </row>
    <row r="18" spans="1:37" s="27" customFormat="1">
      <c r="A18" s="26"/>
      <c r="B18" s="388"/>
      <c r="C18" s="389"/>
      <c r="D18" s="389"/>
      <c r="E18" s="389"/>
      <c r="F18" s="389"/>
      <c r="G18" s="53"/>
      <c r="H18" s="53"/>
      <c r="I18" s="53"/>
      <c r="J18" s="53"/>
      <c r="K18" s="53"/>
      <c r="L18" s="53"/>
      <c r="M18" s="53"/>
      <c r="N18" s="53"/>
      <c r="O18" s="53"/>
      <c r="P18" s="53"/>
      <c r="Q18" s="53"/>
      <c r="R18" s="53"/>
      <c r="S18" s="53"/>
      <c r="T18" s="53"/>
      <c r="U18" s="53"/>
      <c r="V18" s="53"/>
      <c r="W18" s="53"/>
      <c r="X18" s="53"/>
      <c r="Y18" s="53"/>
      <c r="Z18" s="53"/>
      <c r="AA18" s="53"/>
      <c r="AC18" s="161"/>
      <c r="AD18" s="161"/>
      <c r="AE18" s="161"/>
      <c r="AF18" s="161"/>
      <c r="AG18" s="161"/>
      <c r="AH18" s="161"/>
      <c r="AI18" s="161"/>
      <c r="AJ18" s="161"/>
      <c r="AK18" s="161"/>
    </row>
    <row r="19" spans="1:37" ht="15.45">
      <c r="A19" s="93"/>
      <c r="AC19"/>
      <c r="AD19"/>
      <c r="AE19"/>
      <c r="AF19"/>
      <c r="AG19"/>
      <c r="AH19"/>
      <c r="AI19"/>
      <c r="AJ19"/>
      <c r="AK19"/>
    </row>
    <row r="20" spans="1:37" s="27" customFormat="1" ht="15" thickBot="1">
      <c r="A20" s="27" t="s">
        <v>650</v>
      </c>
      <c r="B20" s="230">
        <v>2</v>
      </c>
      <c r="C20" s="27" t="s">
        <v>790</v>
      </c>
      <c r="J20" s="54"/>
      <c r="K20" s="54"/>
      <c r="L20" s="54"/>
      <c r="M20" s="54"/>
      <c r="N20" s="54"/>
      <c r="O20" s="54"/>
      <c r="P20" s="54"/>
      <c r="Q20" s="54"/>
      <c r="R20" s="54"/>
      <c r="S20" s="54"/>
      <c r="T20" s="54"/>
      <c r="U20" s="54"/>
      <c r="V20" s="54"/>
      <c r="W20" s="54"/>
      <c r="X20" s="54"/>
      <c r="Y20" s="54"/>
      <c r="Z20" s="54"/>
      <c r="AA20" s="54"/>
      <c r="AC20"/>
      <c r="AD20"/>
      <c r="AE20"/>
      <c r="AF20"/>
      <c r="AG20"/>
      <c r="AH20"/>
      <c r="AI20"/>
      <c r="AJ20"/>
      <c r="AK20"/>
    </row>
    <row r="21" spans="1:37" s="27" customFormat="1" ht="15" thickBot="1">
      <c r="A21" s="14"/>
      <c r="B21" s="14" t="s">
        <v>91</v>
      </c>
      <c r="C21" s="15">
        <v>2016</v>
      </c>
      <c r="D21" s="15">
        <v>2017</v>
      </c>
      <c r="E21" s="15">
        <v>2018</v>
      </c>
      <c r="F21" s="15">
        <v>2019</v>
      </c>
      <c r="G21" s="15">
        <v>2020</v>
      </c>
      <c r="H21" s="15">
        <v>2021</v>
      </c>
      <c r="I21" s="15">
        <v>2022</v>
      </c>
      <c r="J21" s="15">
        <v>2023</v>
      </c>
      <c r="K21" s="15">
        <v>2024</v>
      </c>
      <c r="L21" s="15">
        <v>2025</v>
      </c>
      <c r="M21" s="15">
        <v>2026</v>
      </c>
      <c r="N21" s="15">
        <v>2027</v>
      </c>
      <c r="O21" s="15">
        <v>2028</v>
      </c>
      <c r="P21" s="15">
        <v>2029</v>
      </c>
      <c r="Q21" s="15">
        <v>2030</v>
      </c>
      <c r="R21" s="15">
        <v>2031</v>
      </c>
      <c r="S21" s="15">
        <v>2032</v>
      </c>
      <c r="T21" s="15">
        <v>2033</v>
      </c>
      <c r="U21" s="15">
        <v>2034</v>
      </c>
      <c r="V21" s="15">
        <v>2035</v>
      </c>
      <c r="W21" s="15">
        <v>2036</v>
      </c>
      <c r="X21" s="15">
        <v>2037</v>
      </c>
      <c r="Y21" s="15">
        <v>2038</v>
      </c>
      <c r="Z21" s="15">
        <v>2039</v>
      </c>
      <c r="AA21" s="15">
        <v>2040</v>
      </c>
      <c r="AB21" s="292"/>
      <c r="AC21"/>
      <c r="AD21"/>
      <c r="AE21"/>
      <c r="AF21"/>
      <c r="AG21"/>
      <c r="AH21"/>
      <c r="AI21"/>
      <c r="AJ21"/>
      <c r="AK21"/>
    </row>
    <row r="22" spans="1:37" s="19" customFormat="1">
      <c r="A22" s="25" t="s">
        <v>518</v>
      </c>
      <c r="B22" s="265" t="s">
        <v>15</v>
      </c>
      <c r="C22" s="258" t="s">
        <v>47</v>
      </c>
      <c r="D22" s="258" t="s">
        <v>47</v>
      </c>
      <c r="E22" s="258" t="s">
        <v>47</v>
      </c>
      <c r="F22" s="258" t="s">
        <v>47</v>
      </c>
      <c r="G22" s="277">
        <f t="shared" ref="G22:AA22" si="5">SUM(G24,G25,G26)</f>
        <v>1038.0448388617222</v>
      </c>
      <c r="H22" s="277">
        <f t="shared" si="5"/>
        <v>2215.7239864741364</v>
      </c>
      <c r="I22" s="277">
        <f t="shared" si="5"/>
        <v>2342.6975839156016</v>
      </c>
      <c r="J22" s="277">
        <f t="shared" si="5"/>
        <v>2465.1187006238688</v>
      </c>
      <c r="K22" s="277">
        <f t="shared" si="5"/>
        <v>2639.1455871693688</v>
      </c>
      <c r="L22" s="277">
        <f t="shared" si="5"/>
        <v>2788.4436641958982</v>
      </c>
      <c r="M22" s="277">
        <f t="shared" si="5"/>
        <v>2941.4561304236572</v>
      </c>
      <c r="N22" s="277">
        <f t="shared" si="5"/>
        <v>3100.8002072356953</v>
      </c>
      <c r="O22" s="277">
        <f t="shared" si="5"/>
        <v>3268.6771246781063</v>
      </c>
      <c r="P22" s="277">
        <f t="shared" si="5"/>
        <v>3447.1806062716523</v>
      </c>
      <c r="Q22" s="277">
        <f t="shared" si="5"/>
        <v>3594.6786968667129</v>
      </c>
      <c r="R22" s="277">
        <f t="shared" si="5"/>
        <v>3748.9505599272829</v>
      </c>
      <c r="S22" s="277">
        <f t="shared" si="5"/>
        <v>3910.3906000412012</v>
      </c>
      <c r="T22" s="277">
        <f t="shared" si="5"/>
        <v>4079.4251370321513</v>
      </c>
      <c r="U22" s="277">
        <f t="shared" si="5"/>
        <v>4256.5169112361555</v>
      </c>
      <c r="V22" s="277">
        <f t="shared" si="5"/>
        <v>4419.0670114920404</v>
      </c>
      <c r="W22" s="277">
        <f t="shared" si="5"/>
        <v>4587.6580141291815</v>
      </c>
      <c r="X22" s="277">
        <f t="shared" si="5"/>
        <v>4762.5539196994068</v>
      </c>
      <c r="Y22" s="277">
        <f t="shared" si="5"/>
        <v>4944.027874312822</v>
      </c>
      <c r="Z22" s="277">
        <f t="shared" si="5"/>
        <v>5132.3687467309946</v>
      </c>
      <c r="AA22" s="277">
        <f t="shared" si="5"/>
        <v>5506.0690790477702</v>
      </c>
      <c r="AC22"/>
      <c r="AD22"/>
      <c r="AE22"/>
      <c r="AF22"/>
      <c r="AG22"/>
      <c r="AH22"/>
      <c r="AI22"/>
      <c r="AJ22"/>
      <c r="AK22"/>
    </row>
    <row r="23" spans="1:37" s="27" customFormat="1">
      <c r="A23" s="366" t="s">
        <v>88</v>
      </c>
      <c r="B23" s="263" t="s">
        <v>7</v>
      </c>
      <c r="C23" s="253" t="s">
        <v>47</v>
      </c>
      <c r="D23" s="253" t="s">
        <v>47</v>
      </c>
      <c r="E23" s="253" t="s">
        <v>47</v>
      </c>
      <c r="F23" s="253" t="s">
        <v>47</v>
      </c>
      <c r="G23" s="260">
        <f t="shared" ref="G23:AA23" si="6">$G$60/100*G62</f>
        <v>4.5</v>
      </c>
      <c r="H23" s="260">
        <f t="shared" si="6"/>
        <v>4.5</v>
      </c>
      <c r="I23" s="260">
        <f t="shared" si="6"/>
        <v>4.5</v>
      </c>
      <c r="J23" s="260">
        <f t="shared" si="6"/>
        <v>4.5</v>
      </c>
      <c r="K23" s="260">
        <f t="shared" si="6"/>
        <v>4.5</v>
      </c>
      <c r="L23" s="260">
        <f t="shared" si="6"/>
        <v>4.5</v>
      </c>
      <c r="M23" s="260">
        <f t="shared" si="6"/>
        <v>4.5</v>
      </c>
      <c r="N23" s="260">
        <f t="shared" si="6"/>
        <v>4.5</v>
      </c>
      <c r="O23" s="260">
        <f t="shared" si="6"/>
        <v>4.5</v>
      </c>
      <c r="P23" s="260">
        <f t="shared" si="6"/>
        <v>4.5</v>
      </c>
      <c r="Q23" s="260">
        <f t="shared" si="6"/>
        <v>4.5</v>
      </c>
      <c r="R23" s="260">
        <f t="shared" si="6"/>
        <v>4.5</v>
      </c>
      <c r="S23" s="260">
        <f t="shared" si="6"/>
        <v>4.5</v>
      </c>
      <c r="T23" s="260">
        <f t="shared" si="6"/>
        <v>4.5</v>
      </c>
      <c r="U23" s="260">
        <f t="shared" si="6"/>
        <v>4.5</v>
      </c>
      <c r="V23" s="260">
        <f t="shared" si="6"/>
        <v>4.5</v>
      </c>
      <c r="W23" s="260">
        <f t="shared" si="6"/>
        <v>4.5</v>
      </c>
      <c r="X23" s="260">
        <f t="shared" si="6"/>
        <v>4.5</v>
      </c>
      <c r="Y23" s="260">
        <f t="shared" si="6"/>
        <v>4.5</v>
      </c>
      <c r="Z23" s="260">
        <f t="shared" si="6"/>
        <v>4.5</v>
      </c>
      <c r="AA23" s="260">
        <f t="shared" si="6"/>
        <v>4.5</v>
      </c>
      <c r="AC23"/>
      <c r="AD23"/>
      <c r="AE23"/>
      <c r="AF23"/>
      <c r="AG23"/>
      <c r="AH23"/>
      <c r="AI23"/>
      <c r="AJ23"/>
      <c r="AK23"/>
    </row>
    <row r="24" spans="1:37" s="27" customFormat="1" ht="14.7" customHeight="1">
      <c r="A24" s="366" t="s">
        <v>581</v>
      </c>
      <c r="B24" s="263" t="s">
        <v>15</v>
      </c>
      <c r="C24" s="253" t="s">
        <v>47</v>
      </c>
      <c r="D24" s="253" t="s">
        <v>47</v>
      </c>
      <c r="E24" s="253" t="s">
        <v>47</v>
      </c>
      <c r="F24" s="253" t="s">
        <v>47</v>
      </c>
      <c r="G24" s="260">
        <f t="shared" ref="G24:AA24" si="7">G8*G26/(G26+G38)</f>
        <v>17.704152917658551</v>
      </c>
      <c r="H24" s="260">
        <f t="shared" si="7"/>
        <v>37.473068418849941</v>
      </c>
      <c r="I24" s="260">
        <f t="shared" si="7"/>
        <v>38.77007656931012</v>
      </c>
      <c r="J24" s="260">
        <f t="shared" si="7"/>
        <v>39.857988201057474</v>
      </c>
      <c r="K24" s="260">
        <f t="shared" si="7"/>
        <v>41.593872627439502</v>
      </c>
      <c r="L24" s="260">
        <f t="shared" si="7"/>
        <v>43.136324332147886</v>
      </c>
      <c r="M24" s="260">
        <f t="shared" si="7"/>
        <v>44.562172202105465</v>
      </c>
      <c r="N24" s="260">
        <f t="shared" si="7"/>
        <v>45.915664748708885</v>
      </c>
      <c r="O24" s="260">
        <f t="shared" si="7"/>
        <v>47.224170683578848</v>
      </c>
      <c r="P24" s="260">
        <f t="shared" si="7"/>
        <v>48.505600496615436</v>
      </c>
      <c r="Q24" s="260">
        <f t="shared" si="7"/>
        <v>49.524218107044383</v>
      </c>
      <c r="R24" s="260">
        <f t="shared" si="7"/>
        <v>50.56422668729229</v>
      </c>
      <c r="S24" s="260">
        <f t="shared" si="7"/>
        <v>51.626075447725405</v>
      </c>
      <c r="T24" s="260">
        <f t="shared" si="7"/>
        <v>52.710223032127651</v>
      </c>
      <c r="U24" s="260">
        <f t="shared" si="7"/>
        <v>53.817137715802325</v>
      </c>
      <c r="V24" s="260">
        <f t="shared" si="7"/>
        <v>54.947297607834187</v>
      </c>
      <c r="W24" s="260">
        <f t="shared" si="7"/>
        <v>56.101190857598702</v>
      </c>
      <c r="X24" s="260">
        <f t="shared" si="7"/>
        <v>57.279315865608233</v>
      </c>
      <c r="Y24" s="260">
        <f t="shared" si="7"/>
        <v>58.482181498786019</v>
      </c>
      <c r="Z24" s="260">
        <f t="shared" si="7"/>
        <v>59.710307310260504</v>
      </c>
      <c r="AA24" s="260">
        <f t="shared" si="7"/>
        <v>64.319242595091694</v>
      </c>
      <c r="AC24"/>
      <c r="AD24"/>
      <c r="AE24"/>
      <c r="AF24"/>
      <c r="AG24"/>
      <c r="AH24"/>
      <c r="AI24"/>
      <c r="AJ24"/>
      <c r="AK24"/>
    </row>
    <row r="25" spans="1:37" s="27" customFormat="1" ht="14.7" customHeight="1">
      <c r="A25" s="366" t="s">
        <v>84</v>
      </c>
      <c r="B25" s="264" t="s">
        <v>15</v>
      </c>
      <c r="C25" s="253" t="s">
        <v>47</v>
      </c>
      <c r="D25" s="253" t="s">
        <v>47</v>
      </c>
      <c r="E25" s="253" t="s">
        <v>47</v>
      </c>
      <c r="F25" s="253" t="s">
        <v>47</v>
      </c>
      <c r="G25" s="256">
        <f>('Sensitivity calculations'!G62*5/100)*'Sensitivity calculations'!G129/100*'Main calculations'!G229*(1+'Sensitivity calculations'!$C$131)</f>
        <v>16.359085656114715</v>
      </c>
      <c r="H25" s="256">
        <f>('Sensitivity calculations'!H62*'Sensitivity calculations'!$G$60/100)*'Sensitivity calculations'!H129/100*'Main calculations'!H229*(1+'Sensitivity calculations'!$C$131)</f>
        <v>41.756566137232802</v>
      </c>
      <c r="I25" s="256">
        <f>('Sensitivity calculations'!I62*'Sensitivity calculations'!$G$60/100)*'Sensitivity calculations'!I129/100*'Main calculations'!I229*(1+'Sensitivity calculations'!$C$131)</f>
        <v>63.950181039172044</v>
      </c>
      <c r="J25" s="256">
        <f>('Sensitivity calculations'!J62*'Sensitivity calculations'!$G$60/100)*'Sensitivity calculations'!J129/100*'Main calculations'!J229*(1+'Sensitivity calculations'!$C$131)</f>
        <v>87.057513121326195</v>
      </c>
      <c r="K25" s="256">
        <f>('Sensitivity calculations'!K62*'Sensitivity calculations'!$G$60/100)*'Sensitivity calculations'!K129/100*'Main calculations'!K229*(1+'Sensitivity calculations'!$C$131)</f>
        <v>133.32858134531105</v>
      </c>
      <c r="L25" s="256">
        <f>('Sensitivity calculations'!L62*'Sensitivity calculations'!$G$60/100)*'Sensitivity calculations'!L129/100*'Main calculations'!L229*(1+'Sensitivity calculations'!$C$131)</f>
        <v>158.89397163603886</v>
      </c>
      <c r="M25" s="256">
        <f>('Sensitivity calculations'!M62*'Sensitivity calculations'!$G$60/100)*'Sensitivity calculations'!M129/100*'Main calculations'!M229*(1+'Sensitivity calculations'!$C$131)</f>
        <v>189.36145549232023</v>
      </c>
      <c r="N25" s="256">
        <f>('Sensitivity calculations'!N62*'Sensitivity calculations'!$G$60/100)*'Sensitivity calculations'!N129/100*'Main calculations'!N229*(1+'Sensitivity calculations'!$C$131)</f>
        <v>225.67099592869044</v>
      </c>
      <c r="O25" s="256">
        <f>('Sensitivity calculations'!O62*'Sensitivity calculations'!$G$60/100)*'Sensitivity calculations'!O129/100*'Main calculations'!O229*(1+'Sensitivity calculations'!$C$131)</f>
        <v>268.94279129319665</v>
      </c>
      <c r="P25" s="256">
        <f>('Sensitivity calculations'!P62*'Sensitivity calculations'!$G$60/100)*'Sensitivity calculations'!P129/100*'Main calculations'!P229*(1+'Sensitivity calculations'!$C$131)</f>
        <v>320.51183489894055</v>
      </c>
      <c r="Q25" s="256">
        <f>('Sensitivity calculations'!Q62*'Sensitivity calculations'!$G$60/100)*'Sensitivity calculations'!Q129/100*'Main calculations'!Q229*(1+'Sensitivity calculations'!$C$131)</f>
        <v>349.24937944375472</v>
      </c>
      <c r="R25" s="256">
        <f>('Sensitivity calculations'!R62*'Sensitivity calculations'!$G$60/100)*'Sensitivity calculations'!R129/100*'Main calculations'!R229*(1+'Sensitivity calculations'!$C$131)</f>
        <v>380.56357288743271</v>
      </c>
      <c r="S25" s="256">
        <f>('Sensitivity calculations'!S62*'Sensitivity calculations'!$G$60/100)*'Sensitivity calculations'!S129/100*'Main calculations'!S229*(1+'Sensitivity calculations'!$C$131)</f>
        <v>414.68544121542942</v>
      </c>
      <c r="T25" s="256">
        <f>('Sensitivity calculations'!T62*'Sensitivity calculations'!$G$60/100)*'Sensitivity calculations'!T129/100*'Main calculations'!T229*(1+'Sensitivity calculations'!$C$131)</f>
        <v>451.86672452988773</v>
      </c>
      <c r="U25" s="256">
        <f>('Sensitivity calculations'!U62*'Sensitivity calculations'!$G$60/100)*'Sensitivity calculations'!U129/100*'Main calculations'!U229*(1+'Sensitivity calculations'!$C$131)</f>
        <v>492.38173430664477</v>
      </c>
      <c r="V25" s="256">
        <f>('Sensitivity calculations'!V62*'Sensitivity calculations'!$G$60/100)*'Sensitivity calculations'!V129/100*'Main calculations'!V229*(1+'Sensitivity calculations'!$C$131)</f>
        <v>513.42755608036134</v>
      </c>
      <c r="W25" s="256">
        <f>('Sensitivity calculations'!W62*'Sensitivity calculations'!$G$60/100)*'Sensitivity calculations'!W129/100*'Main calculations'!W229*(1+'Sensitivity calculations'!$C$131)</f>
        <v>535.3729372472684</v>
      </c>
      <c r="X25" s="256">
        <f>('Sensitivity calculations'!X62*'Sensitivity calculations'!$G$60/100)*'Sensitivity calculations'!X129/100*'Main calculations'!X229*(1+'Sensitivity calculations'!$C$131)</f>
        <v>558.25632758189022</v>
      </c>
      <c r="Y25" s="256">
        <f>('Sensitivity calculations'!Y62*'Sensitivity calculations'!$G$60/100)*'Sensitivity calculations'!Y129/100*'Main calculations'!Y229*(1+'Sensitivity calculations'!$C$131)</f>
        <v>582.11782031350526</v>
      </c>
      <c r="Z25" s="256">
        <f>('Sensitivity calculations'!Z62*'Sensitivity calculations'!$G$60/100)*'Sensitivity calculations'!Z129/100*'Main calculations'!Z229*(1+'Sensitivity calculations'!$C$131)</f>
        <v>606.99922237216185</v>
      </c>
      <c r="AA25" s="256">
        <f>('Sensitivity calculations'!AA62*'Sensitivity calculations'!$G$60/100)*'Sensitivity calculations'!AA129/100*'Main calculations'!AA229*(1+'Sensitivity calculations'!$C$131)</f>
        <v>632.9441276372163</v>
      </c>
      <c r="AB25" s="68"/>
      <c r="AC25"/>
      <c r="AD25"/>
      <c r="AE25"/>
      <c r="AF25"/>
      <c r="AG25"/>
      <c r="AH25"/>
      <c r="AI25"/>
      <c r="AJ25"/>
      <c r="AK25"/>
    </row>
    <row r="26" spans="1:37" s="27" customFormat="1">
      <c r="A26" s="366" t="s">
        <v>191</v>
      </c>
      <c r="B26" s="263" t="s">
        <v>15</v>
      </c>
      <c r="C26" s="253" t="s">
        <v>47</v>
      </c>
      <c r="D26" s="253" t="s">
        <v>47</v>
      </c>
      <c r="E26" s="253" t="s">
        <v>47</v>
      </c>
      <c r="F26" s="253" t="s">
        <v>47</v>
      </c>
      <c r="G26" s="260">
        <f t="shared" ref="G26:AA26" si="8">SUM(G27,G31)</f>
        <v>1003.9816002879488</v>
      </c>
      <c r="H26" s="260">
        <f t="shared" si="8"/>
        <v>2136.4943519180538</v>
      </c>
      <c r="I26" s="260">
        <f t="shared" si="8"/>
        <v>2239.9773263071193</v>
      </c>
      <c r="J26" s="260">
        <f t="shared" si="8"/>
        <v>2338.2031993014853</v>
      </c>
      <c r="K26" s="260">
        <f t="shared" si="8"/>
        <v>2464.2231331966182</v>
      </c>
      <c r="L26" s="260">
        <f t="shared" si="8"/>
        <v>2586.4133682277115</v>
      </c>
      <c r="M26" s="260">
        <f t="shared" si="8"/>
        <v>2707.5325027292315</v>
      </c>
      <c r="N26" s="260">
        <f t="shared" si="8"/>
        <v>2829.213546558296</v>
      </c>
      <c r="O26" s="260">
        <f t="shared" si="8"/>
        <v>2952.510162701331</v>
      </c>
      <c r="P26" s="260">
        <f t="shared" si="8"/>
        <v>3078.1631708760965</v>
      </c>
      <c r="Q26" s="260">
        <f t="shared" si="8"/>
        <v>3195.905099315914</v>
      </c>
      <c r="R26" s="260">
        <f t="shared" si="8"/>
        <v>3317.8227603525579</v>
      </c>
      <c r="S26" s="260">
        <f t="shared" si="8"/>
        <v>3444.0790833780466</v>
      </c>
      <c r="T26" s="260">
        <f t="shared" si="8"/>
        <v>3574.8481894701358</v>
      </c>
      <c r="U26" s="260">
        <f t="shared" si="8"/>
        <v>3710.3180392137083</v>
      </c>
      <c r="V26" s="260">
        <f t="shared" si="8"/>
        <v>3850.692157803845</v>
      </c>
      <c r="W26" s="260">
        <f t="shared" si="8"/>
        <v>3996.1838860243147</v>
      </c>
      <c r="X26" s="260">
        <f t="shared" si="8"/>
        <v>4147.018276251908</v>
      </c>
      <c r="Y26" s="260">
        <f t="shared" si="8"/>
        <v>4303.4278725005306</v>
      </c>
      <c r="Z26" s="260">
        <f t="shared" si="8"/>
        <v>4465.6592170485719</v>
      </c>
      <c r="AA26" s="260">
        <f t="shared" si="8"/>
        <v>4808.8057088154619</v>
      </c>
      <c r="AB26" s="68"/>
      <c r="AC26"/>
      <c r="AD26"/>
      <c r="AE26"/>
      <c r="AF26"/>
      <c r="AG26"/>
      <c r="AH26"/>
      <c r="AI26"/>
      <c r="AJ26"/>
      <c r="AK26"/>
    </row>
    <row r="27" spans="1:37" s="27" customFormat="1">
      <c r="A27" s="366" t="s">
        <v>837</v>
      </c>
      <c r="B27" s="264" t="s">
        <v>15</v>
      </c>
      <c r="C27" s="253" t="s">
        <v>47</v>
      </c>
      <c r="D27" s="253" t="s">
        <v>47</v>
      </c>
      <c r="E27" s="253" t="s">
        <v>47</v>
      </c>
      <c r="F27" s="253" t="s">
        <v>47</v>
      </c>
      <c r="G27" s="256">
        <f t="shared" ref="G27:AA27" si="9">SUM(G28:G30)</f>
        <v>864.92807938293117</v>
      </c>
      <c r="H27" s="256">
        <f t="shared" si="9"/>
        <v>1834.8191692365967</v>
      </c>
      <c r="I27" s="256">
        <f t="shared" si="9"/>
        <v>1920.0653655155397</v>
      </c>
      <c r="J27" s="256">
        <f t="shared" si="9"/>
        <v>2001.100147811751</v>
      </c>
      <c r="K27" s="256">
        <f t="shared" si="9"/>
        <v>2103.6526617908767</v>
      </c>
      <c r="L27" s="256">
        <f t="shared" si="9"/>
        <v>2203.1322484930834</v>
      </c>
      <c r="M27" s="256">
        <f t="shared" si="9"/>
        <v>2301.6931712966466</v>
      </c>
      <c r="N27" s="256">
        <f t="shared" si="9"/>
        <v>2400.603695884116</v>
      </c>
      <c r="O27" s="256">
        <f t="shared" si="9"/>
        <v>2500.6759604465415</v>
      </c>
      <c r="P27" s="256">
        <f t="shared" si="9"/>
        <v>2602.4774241492441</v>
      </c>
      <c r="Q27" s="256">
        <f t="shared" si="9"/>
        <v>2698.0999653662629</v>
      </c>
      <c r="R27" s="256">
        <f t="shared" si="9"/>
        <v>2796.8696876742483</v>
      </c>
      <c r="S27" s="256">
        <f t="shared" si="9"/>
        <v>2898.9016928201954</v>
      </c>
      <c r="T27" s="256">
        <f t="shared" si="9"/>
        <v>3004.3200502513446</v>
      </c>
      <c r="U27" s="256">
        <f t="shared" si="9"/>
        <v>3113.2603415212434</v>
      </c>
      <c r="V27" s="256">
        <f t="shared" si="9"/>
        <v>3225.8712771686801</v>
      </c>
      <c r="W27" s="256">
        <f t="shared" si="9"/>
        <v>3342.3088344396147</v>
      </c>
      <c r="X27" s="256">
        <f t="shared" si="9"/>
        <v>3462.7380347685203</v>
      </c>
      <c r="Y27" s="256">
        <f t="shared" si="9"/>
        <v>3587.3285997881649</v>
      </c>
      <c r="Z27" s="256">
        <f t="shared" si="9"/>
        <v>3716.2613281550812</v>
      </c>
      <c r="AA27" s="256">
        <f t="shared" si="9"/>
        <v>3981.4017944133657</v>
      </c>
      <c r="AB27" s="68"/>
      <c r="AC27"/>
      <c r="AD27"/>
      <c r="AE27"/>
      <c r="AF27"/>
      <c r="AG27"/>
      <c r="AH27"/>
      <c r="AI27"/>
      <c r="AJ27"/>
      <c r="AK27"/>
    </row>
    <row r="28" spans="1:37" s="27" customFormat="1">
      <c r="A28" s="366" t="s">
        <v>838</v>
      </c>
      <c r="B28" s="264" t="s">
        <v>15</v>
      </c>
      <c r="C28" s="253" t="s">
        <v>47</v>
      </c>
      <c r="D28" s="253" t="s">
        <v>47</v>
      </c>
      <c r="E28" s="253" t="s">
        <v>47</v>
      </c>
      <c r="F28" s="253" t="s">
        <v>47</v>
      </c>
      <c r="G28" s="256">
        <f>5/100*'Main calculations'!G226*(G156-G158)/1000</f>
        <v>362.11244879497616</v>
      </c>
      <c r="H28" s="256">
        <f>$G$60/100*'Main calculations'!H226*(H156-H158)/1000</f>
        <v>751.46886695673822</v>
      </c>
      <c r="I28" s="256">
        <f>$G$60/100*'Main calculations'!I226*(I156-I158)/1000</f>
        <v>779.47361174491687</v>
      </c>
      <c r="J28" s="256">
        <f>$G$60/100*'Main calculations'!J226*(J156-J158)/1000</f>
        <v>808.23210226434435</v>
      </c>
      <c r="K28" s="256">
        <f>$G$60/100*'Main calculations'!K226*(K156-K158)/1000</f>
        <v>837.73979857840254</v>
      </c>
      <c r="L28" s="256">
        <f>$G$60/100*'Main calculations'!L226*(L156-L158)/1000</f>
        <v>868.18877589321289</v>
      </c>
      <c r="M28" s="256">
        <f>$G$60/100*'Main calculations'!M226*(M156-M158)/1000</f>
        <v>899.59878165105067</v>
      </c>
      <c r="N28" s="256">
        <f>$G$60/100*'Main calculations'!N226*(N156-N158)/1000</f>
        <v>931.99055703191561</v>
      </c>
      <c r="O28" s="256">
        <f>$G$60/100*'Main calculations'!O226*(O156-O158)/1000</f>
        <v>965.38632934200689</v>
      </c>
      <c r="P28" s="256">
        <f>$G$60/100*'Main calculations'!P226*(P156-P158)/1000</f>
        <v>999.81319142676432</v>
      </c>
      <c r="Q28" s="256">
        <f>$G$60/100*'Main calculations'!Q226*(Q156-Q158)/1000</f>
        <v>1035.2998887809656</v>
      </c>
      <c r="R28" s="256">
        <f>$G$60/100*'Main calculations'!R226*(R156-R158)/1000</f>
        <v>1071.877670011947</v>
      </c>
      <c r="S28" s="256">
        <f>$G$60/100*'Main calculations'!S226*(S156-S158)/1000</f>
        <v>1109.5828310856914</v>
      </c>
      <c r="T28" s="256">
        <f>$G$60/100*'Main calculations'!T226*(T156-T158)/1000</f>
        <v>1148.454613890131</v>
      </c>
      <c r="U28" s="256">
        <f>$G$60/100*'Main calculations'!U226*(U156-U158)/1000</f>
        <v>1188.5361373585986</v>
      </c>
      <c r="V28" s="256">
        <f>$G$60/100*'Main calculations'!V226*(V156-V158)/1000</f>
        <v>1229.8749653240511</v>
      </c>
      <c r="W28" s="256">
        <f>$G$60/100*'Main calculations'!W226*(W156-W158)/1000</f>
        <v>1272.5208194771992</v>
      </c>
      <c r="X28" s="256">
        <f>$G$60/100*'Main calculations'!X226*(X156-X158)/1000</f>
        <v>1316.5262130861131</v>
      </c>
      <c r="Y28" s="256">
        <f>$G$60/100*'Main calculations'!Y226*(Y156-Y158)/1000</f>
        <v>1361.9447531217329</v>
      </c>
      <c r="Z28" s="256">
        <f>$G$60/100*'Main calculations'!Z226*(Z156-Z158)/1000</f>
        <v>1408.8335190061996</v>
      </c>
      <c r="AA28" s="256">
        <f>$G$60/100*'Main calculations'!AA226*(AA156-AA158)/1000</f>
        <v>1457.2565218026884</v>
      </c>
      <c r="AB28" s="68"/>
      <c r="AC28"/>
      <c r="AD28"/>
      <c r="AE28"/>
      <c r="AF28"/>
      <c r="AG28"/>
      <c r="AH28"/>
      <c r="AI28"/>
      <c r="AJ28"/>
      <c r="AK28"/>
    </row>
    <row r="29" spans="1:37" s="27" customFormat="1">
      <c r="A29" s="366" t="s">
        <v>839</v>
      </c>
      <c r="B29" s="264" t="s">
        <v>15</v>
      </c>
      <c r="C29" s="253" t="s">
        <v>47</v>
      </c>
      <c r="D29" s="253" t="s">
        <v>47</v>
      </c>
      <c r="E29" s="253" t="s">
        <v>47</v>
      </c>
      <c r="F29" s="253" t="s">
        <v>47</v>
      </c>
      <c r="G29" s="256">
        <f t="shared" ref="G29:AA29" si="10">G176*(G28/(G28+G40))</f>
        <v>35.522407163405894</v>
      </c>
      <c r="H29" s="256">
        <f t="shared" si="10"/>
        <v>78.166720303093172</v>
      </c>
      <c r="I29" s="256">
        <f t="shared" si="10"/>
        <v>84.048036962355241</v>
      </c>
      <c r="J29" s="256">
        <f t="shared" si="10"/>
        <v>89.76743707034521</v>
      </c>
      <c r="K29" s="256">
        <f t="shared" si="10"/>
        <v>97.284514936470572</v>
      </c>
      <c r="L29" s="256">
        <f t="shared" si="10"/>
        <v>104.76117768543139</v>
      </c>
      <c r="M29" s="256">
        <f t="shared" si="10"/>
        <v>112.35596578474357</v>
      </c>
      <c r="N29" s="256">
        <f t="shared" si="10"/>
        <v>120.16864695579207</v>
      </c>
      <c r="O29" s="256">
        <f t="shared" si="10"/>
        <v>128.26912266166431</v>
      </c>
      <c r="P29" s="256">
        <f t="shared" si="10"/>
        <v>136.71156177407528</v>
      </c>
      <c r="Q29" s="256">
        <f t="shared" si="10"/>
        <v>144.81586692985417</v>
      </c>
      <c r="R29" s="256">
        <f t="shared" si="10"/>
        <v>153.37649312452049</v>
      </c>
      <c r="S29" s="256">
        <f t="shared" si="10"/>
        <v>162.41902802921024</v>
      </c>
      <c r="T29" s="256">
        <f t="shared" si="10"/>
        <v>171.97076170430446</v>
      </c>
      <c r="U29" s="256">
        <f t="shared" si="10"/>
        <v>182.06093464409844</v>
      </c>
      <c r="V29" s="256">
        <f t="shared" si="10"/>
        <v>192.720954198546</v>
      </c>
      <c r="W29" s="256">
        <f t="shared" si="10"/>
        <v>203.98417265864367</v>
      </c>
      <c r="X29" s="256">
        <f t="shared" si="10"/>
        <v>215.88610184162724</v>
      </c>
      <c r="Y29" s="256">
        <f t="shared" si="10"/>
        <v>228.46425644394549</v>
      </c>
      <c r="Z29" s="256">
        <f t="shared" si="10"/>
        <v>241.7586643343831</v>
      </c>
      <c r="AA29" s="256">
        <f t="shared" si="10"/>
        <v>269.8906576508586</v>
      </c>
      <c r="AB29" s="68"/>
      <c r="AC29"/>
      <c r="AD29"/>
      <c r="AE29"/>
      <c r="AF29"/>
      <c r="AG29"/>
      <c r="AH29"/>
      <c r="AI29"/>
      <c r="AJ29"/>
      <c r="AK29"/>
    </row>
    <row r="30" spans="1:37" s="27" customFormat="1">
      <c r="A30" s="366" t="s">
        <v>840</v>
      </c>
      <c r="B30" s="264" t="s">
        <v>15</v>
      </c>
      <c r="C30" s="253" t="s">
        <v>47</v>
      </c>
      <c r="D30" s="253" t="s">
        <v>47</v>
      </c>
      <c r="E30" s="253" t="s">
        <v>47</v>
      </c>
      <c r="F30" s="253" t="s">
        <v>47</v>
      </c>
      <c r="G30" s="256">
        <f>'Sensitivity calculations'!G164*(G28/(G40+G28))</f>
        <v>467.29322342454918</v>
      </c>
      <c r="H30" s="256">
        <f>'Sensitivity calculations'!H164*(H28/(H40+H28))</f>
        <v>1005.1835819767654</v>
      </c>
      <c r="I30" s="256">
        <f>'Sensitivity calculations'!I164*(I28/(I40+I28))</f>
        <v>1056.5437168082676</v>
      </c>
      <c r="J30" s="256">
        <f>'Sensitivity calculations'!J164*(J28/(J40+J28))</f>
        <v>1103.1006084770615</v>
      </c>
      <c r="K30" s="256">
        <f>'Sensitivity calculations'!K164*(K28/(K40+K28))</f>
        <v>1168.6283482760034</v>
      </c>
      <c r="L30" s="256">
        <f>'Sensitivity calculations'!L164*(L28/(L40+L28))</f>
        <v>1230.1822949144391</v>
      </c>
      <c r="M30" s="256">
        <f>'Sensitivity calculations'!M164*(M28/(M40+M28))</f>
        <v>1289.7384238608522</v>
      </c>
      <c r="N30" s="256">
        <f>'Sensitivity calculations'!N164*(N28/(N40+N28))</f>
        <v>1348.4444918964082</v>
      </c>
      <c r="O30" s="256">
        <f>'Sensitivity calculations'!O164*(O28/(O40+O28))</f>
        <v>1407.0205084428703</v>
      </c>
      <c r="P30" s="256">
        <f>'Sensitivity calculations'!P164*(P28/(P40+P28))</f>
        <v>1465.9526709484046</v>
      </c>
      <c r="Q30" s="256">
        <f>'Sensitivity calculations'!Q164*(Q28/(Q40+Q28))</f>
        <v>1517.9842096554432</v>
      </c>
      <c r="R30" s="256">
        <f>'Sensitivity calculations'!R164*(R28/(R40+R28))</f>
        <v>1571.6155245377809</v>
      </c>
      <c r="S30" s="256">
        <f>'Sensitivity calculations'!S164*(S28/(S40+S28))</f>
        <v>1626.8998337052938</v>
      </c>
      <c r="T30" s="256">
        <f>'Sensitivity calculations'!T164*(T28/(T40+T28))</f>
        <v>1683.894674656909</v>
      </c>
      <c r="U30" s="256">
        <f>'Sensitivity calculations'!U164*(U28/(U40+U28))</f>
        <v>1742.6632695185465</v>
      </c>
      <c r="V30" s="256">
        <f>'Sensitivity calculations'!V164*(V28/(V40+V28))</f>
        <v>1803.275357646083</v>
      </c>
      <c r="W30" s="256">
        <f>'Sensitivity calculations'!W164*(W28/(W40+W28))</f>
        <v>1865.8038423037719</v>
      </c>
      <c r="X30" s="256">
        <f>'Sensitivity calculations'!X164*(X28/(X40+X28))</f>
        <v>1930.3257198407803</v>
      </c>
      <c r="Y30" s="256">
        <f>'Sensitivity calculations'!Y164*(Y28/(Y40+Y28))</f>
        <v>1996.9195902224862</v>
      </c>
      <c r="Z30" s="256">
        <f>'Sensitivity calculations'!Z164*(Z28/(Z40+Z28))</f>
        <v>2065.6691448144984</v>
      </c>
      <c r="AA30" s="256">
        <f>'Sensitivity calculations'!AA164*(AA28/(AA40+AA28))</f>
        <v>2254.2546149598188</v>
      </c>
      <c r="AB30" s="68"/>
      <c r="AC30"/>
      <c r="AD30"/>
      <c r="AE30"/>
      <c r="AF30"/>
      <c r="AG30"/>
      <c r="AH30"/>
      <c r="AI30"/>
      <c r="AJ30"/>
      <c r="AK30"/>
    </row>
    <row r="31" spans="1:37" s="27" customFormat="1">
      <c r="A31" s="366" t="s">
        <v>841</v>
      </c>
      <c r="B31" s="264" t="s">
        <v>15</v>
      </c>
      <c r="C31" s="253" t="s">
        <v>47</v>
      </c>
      <c r="D31" s="253" t="s">
        <v>47</v>
      </c>
      <c r="E31" s="253" t="s">
        <v>47</v>
      </c>
      <c r="F31" s="253" t="s">
        <v>47</v>
      </c>
      <c r="G31" s="256">
        <f>'Main calculations'!$C$244*'Sensitivity calculations'!G202*'Sensitivity calculations'!G59/100*(G28/(G40+G28))</f>
        <v>139.05352090501771</v>
      </c>
      <c r="H31" s="256">
        <f>'Main calculations'!$C$244*'Sensitivity calculations'!H202*'Sensitivity calculations'!H59/100*(H28/(H40+H28))</f>
        <v>301.67518268145699</v>
      </c>
      <c r="I31" s="256">
        <f>'Main calculations'!$C$244*'Sensitivity calculations'!I202*'Sensitivity calculations'!I59/100*(I28/(I40+I28))</f>
        <v>319.91196079157936</v>
      </c>
      <c r="J31" s="256">
        <f>'Main calculations'!$C$244*'Sensitivity calculations'!J202*'Sensitivity calculations'!J59/100*(J28/(J40+J28))</f>
        <v>337.10305148973441</v>
      </c>
      <c r="K31" s="256">
        <f>'Main calculations'!$C$244*'Sensitivity calculations'!K202*'Sensitivity calculations'!K59/100*(K28/(K40+K28))</f>
        <v>360.57047140574139</v>
      </c>
      <c r="L31" s="256">
        <f>'Main calculations'!$C$244*'Sensitivity calculations'!L202*'Sensitivity calculations'!L59/100*(L28/(L40+L28))</f>
        <v>383.28111973462831</v>
      </c>
      <c r="M31" s="256">
        <f>'Main calculations'!$C$244*'Sensitivity calculations'!M202*'Sensitivity calculations'!M59/100*(M28/(M40+M28))</f>
        <v>405.83933143258503</v>
      </c>
      <c r="N31" s="256">
        <f>'Main calculations'!$C$244*'Sensitivity calculations'!N202*'Sensitivity calculations'!N59/100*(N28/(N40+N28))</f>
        <v>428.60985067418017</v>
      </c>
      <c r="O31" s="256">
        <f>'Main calculations'!$C$244*'Sensitivity calculations'!O202*'Sensitivity calculations'!O59/100*(O28/(O40+O28))</f>
        <v>451.83420225478972</v>
      </c>
      <c r="P31" s="256">
        <f>'Main calculations'!$C$244*'Sensitivity calculations'!P202*'Sensitivity calculations'!P59/100*(P28/(P40+P28))</f>
        <v>475.6857467268523</v>
      </c>
      <c r="Q31" s="256">
        <f>'Main calculations'!$C$244*'Sensitivity calculations'!Q202*'Sensitivity calculations'!Q59/100*(Q28/(Q40+Q28))</f>
        <v>497.80513394965101</v>
      </c>
      <c r="R31" s="256">
        <f>'Main calculations'!$C$244*'Sensitivity calculations'!R202*'Sensitivity calculations'!R59/100*(R28/(R40+R28))</f>
        <v>520.9530726783097</v>
      </c>
      <c r="S31" s="256">
        <f>'Main calculations'!$C$244*'Sensitivity calculations'!S202*'Sensitivity calculations'!S59/100*(S28/(S40+S28))</f>
        <v>545.17739055785091</v>
      </c>
      <c r="T31" s="256">
        <f>'Main calculations'!$C$244*'Sensitivity calculations'!T202*'Sensitivity calculations'!T59/100*(T28/(T40+T28))</f>
        <v>570.52813921879135</v>
      </c>
      <c r="U31" s="256">
        <f>'Main calculations'!$C$244*'Sensitivity calculations'!U202*'Sensitivity calculations'!U59/100*(U28/(U40+U28))</f>
        <v>597.05769769246501</v>
      </c>
      <c r="V31" s="256">
        <f>'Main calculations'!$C$244*'Sensitivity calculations'!V202*'Sensitivity calculations'!V59/100*(V28/(V40+V28))</f>
        <v>624.82088063516494</v>
      </c>
      <c r="W31" s="256">
        <f>'Main calculations'!$C$244*'Sensitivity calculations'!W202*'Sensitivity calculations'!W59/100*(W28/(W40+W28))</f>
        <v>653.87505158469992</v>
      </c>
      <c r="X31" s="256">
        <f>'Main calculations'!$C$244*'Sensitivity calculations'!X202*'Sensitivity calculations'!X59/100*(X28/(X40+X28))</f>
        <v>684.28024148338807</v>
      </c>
      <c r="Y31" s="256">
        <f>'Main calculations'!$C$244*'Sensitivity calculations'!Y202*'Sensitivity calculations'!Y59/100*(Y28/(Y40+Y28))</f>
        <v>716.09927271236563</v>
      </c>
      <c r="Z31" s="256">
        <f>'Main calculations'!$C$244*'Sensitivity calculations'!Z202*'Sensitivity calculations'!Z59/100*(Z28/(Z40+Z28))</f>
        <v>749.39788889349063</v>
      </c>
      <c r="AA31" s="256">
        <f>'Main calculations'!$C$244*'Sensitivity calculations'!AA202*'Sensitivity calculations'!AA59/100*(AA28/(AA40+AA28))</f>
        <v>827.40391440209635</v>
      </c>
      <c r="AB31" s="68"/>
      <c r="AC31"/>
      <c r="AD31"/>
      <c r="AE31"/>
      <c r="AF31"/>
      <c r="AG31"/>
      <c r="AH31"/>
      <c r="AI31"/>
      <c r="AJ31"/>
      <c r="AK31"/>
    </row>
    <row r="32" spans="1:37" s="27" customFormat="1">
      <c r="A32" s="366" t="s">
        <v>836</v>
      </c>
      <c r="B32" s="264" t="s">
        <v>15</v>
      </c>
      <c r="C32" s="253" t="s">
        <v>47</v>
      </c>
      <c r="D32" s="253" t="s">
        <v>47</v>
      </c>
      <c r="E32" s="253" t="s">
        <v>47</v>
      </c>
      <c r="F32" s="253" t="s">
        <v>47</v>
      </c>
      <c r="G32" s="256">
        <f>G31*'Main calculations'!$C$247</f>
        <v>41.020788666980231</v>
      </c>
      <c r="H32" s="256">
        <f>H31*'Main calculations'!$C$247</f>
        <v>88.994178891029819</v>
      </c>
      <c r="I32" s="256">
        <f>I31*'Main calculations'!$C$247</f>
        <v>94.374028433515917</v>
      </c>
      <c r="J32" s="256">
        <f>J31*'Main calculations'!$C$247</f>
        <v>99.44540018947167</v>
      </c>
      <c r="K32" s="256">
        <f>K31*'Main calculations'!$C$247</f>
        <v>106.36828906469373</v>
      </c>
      <c r="L32" s="256">
        <f>L31*'Main calculations'!$C$247</f>
        <v>113.06793032171537</v>
      </c>
      <c r="M32" s="256">
        <f>M31*'Main calculations'!$C$247</f>
        <v>119.7226027726126</v>
      </c>
      <c r="N32" s="256">
        <f>N31*'Main calculations'!$C$247</f>
        <v>126.43990594888317</v>
      </c>
      <c r="O32" s="256">
        <f>O31*'Main calculations'!$C$247</f>
        <v>133.29108966516299</v>
      </c>
      <c r="P32" s="256">
        <f>P31*'Main calculations'!$C$247</f>
        <v>140.32729528442144</v>
      </c>
      <c r="Q32" s="256">
        <f>Q31*'Main calculations'!$C$247</f>
        <v>146.85251451514708</v>
      </c>
      <c r="R32" s="256">
        <f>R31*'Main calculations'!$C$247</f>
        <v>153.68115644010138</v>
      </c>
      <c r="S32" s="256">
        <f>S31*'Main calculations'!$C$247</f>
        <v>160.82733021456605</v>
      </c>
      <c r="T32" s="256">
        <f>T31*'Main calculations'!$C$247</f>
        <v>168.30580106954346</v>
      </c>
      <c r="U32" s="256">
        <f>U31*'Main calculations'!$C$247</f>
        <v>176.13202081927722</v>
      </c>
      <c r="V32" s="256">
        <f>V31*'Main calculations'!$C$247</f>
        <v>184.32215978737369</v>
      </c>
      <c r="W32" s="256">
        <f>W31*'Main calculations'!$C$247</f>
        <v>192.89314021748649</v>
      </c>
      <c r="X32" s="256">
        <f>X31*'Main calculations'!$C$247</f>
        <v>201.8626712375995</v>
      </c>
      <c r="Y32" s="256">
        <f>Y31*'Main calculations'!$C$247</f>
        <v>211.24928545014788</v>
      </c>
      <c r="Z32" s="256">
        <f>Z31*'Main calculations'!$C$247</f>
        <v>221.07237722357976</v>
      </c>
      <c r="AA32" s="256">
        <f>AA31*'Main calculations'!$C$247</f>
        <v>244.08415474861846</v>
      </c>
      <c r="AB32" s="68"/>
      <c r="AC32"/>
      <c r="AD32"/>
      <c r="AE32"/>
      <c r="AF32"/>
      <c r="AG32"/>
      <c r="AH32"/>
      <c r="AI32"/>
      <c r="AJ32"/>
      <c r="AK32"/>
    </row>
    <row r="33" spans="1:37" s="27" customFormat="1">
      <c r="A33" s="366"/>
      <c r="B33" s="264"/>
      <c r="C33" s="253"/>
      <c r="D33" s="253"/>
      <c r="E33" s="253"/>
      <c r="F33" s="253"/>
      <c r="G33" s="256"/>
      <c r="H33" s="256"/>
      <c r="I33" s="256"/>
      <c r="J33" s="256"/>
      <c r="K33" s="256"/>
      <c r="L33" s="261"/>
      <c r="M33" s="256"/>
      <c r="N33" s="256"/>
      <c r="O33" s="256"/>
      <c r="P33" s="256"/>
      <c r="Q33" s="256"/>
      <c r="R33" s="256"/>
      <c r="S33" s="256"/>
      <c r="T33" s="256"/>
      <c r="U33" s="256"/>
      <c r="V33" s="256"/>
      <c r="W33" s="256"/>
      <c r="X33" s="256"/>
      <c r="Y33" s="256"/>
      <c r="Z33" s="256"/>
      <c r="AA33" s="256"/>
      <c r="AB33" s="68"/>
      <c r="AC33"/>
      <c r="AD33"/>
      <c r="AE33"/>
      <c r="AF33"/>
      <c r="AG33"/>
      <c r="AH33"/>
      <c r="AI33"/>
      <c r="AJ33"/>
      <c r="AK33"/>
    </row>
    <row r="34" spans="1:37" s="19" customFormat="1" ht="34.75">
      <c r="A34" s="25" t="s">
        <v>712</v>
      </c>
      <c r="B34" s="265" t="s">
        <v>15</v>
      </c>
      <c r="C34" s="258" t="s">
        <v>47</v>
      </c>
      <c r="D34" s="258" t="s">
        <v>47</v>
      </c>
      <c r="E34" s="258" t="s">
        <v>47</v>
      </c>
      <c r="F34" s="258" t="s">
        <v>47</v>
      </c>
      <c r="G34" s="277">
        <f t="shared" ref="G34:AA34" si="11">SUM(G36,G37,G38)</f>
        <v>1038.0448388617222</v>
      </c>
      <c r="H34" s="277">
        <f t="shared" si="11"/>
        <v>1824.7536697631954</v>
      </c>
      <c r="I34" s="277">
        <f t="shared" si="11"/>
        <v>3861.2822055825022</v>
      </c>
      <c r="J34" s="277">
        <f t="shared" si="11"/>
        <v>6098.5377488503082</v>
      </c>
      <c r="K34" s="277">
        <f t="shared" si="11"/>
        <v>8255.9963300317304</v>
      </c>
      <c r="L34" s="277">
        <f t="shared" si="11"/>
        <v>10547.595964878781</v>
      </c>
      <c r="M34" s="277">
        <f t="shared" si="11"/>
        <v>13057.76018449382</v>
      </c>
      <c r="N34" s="277">
        <f t="shared" si="11"/>
        <v>15809.523506639171</v>
      </c>
      <c r="O34" s="277">
        <f t="shared" si="11"/>
        <v>18830.958450541144</v>
      </c>
      <c r="P34" s="277">
        <f t="shared" si="11"/>
        <v>22155.943444095086</v>
      </c>
      <c r="Q34" s="277">
        <f t="shared" si="11"/>
        <v>23118.960442057458</v>
      </c>
      <c r="R34" s="277">
        <f t="shared" si="11"/>
        <v>24127.459061246067</v>
      </c>
      <c r="S34" s="277">
        <f t="shared" si="11"/>
        <v>25184.168395165991</v>
      </c>
      <c r="T34" s="277">
        <f t="shared" si="11"/>
        <v>26292.040393044233</v>
      </c>
      <c r="U34" s="277">
        <f t="shared" si="11"/>
        <v>27454.280253289075</v>
      </c>
      <c r="V34" s="277">
        <f t="shared" si="11"/>
        <v>28504.958838595569</v>
      </c>
      <c r="W34" s="277">
        <f t="shared" si="11"/>
        <v>29594.801437959082</v>
      </c>
      <c r="X34" s="277">
        <f t="shared" si="11"/>
        <v>30725.51874182127</v>
      </c>
      <c r="Y34" s="277">
        <f t="shared" si="11"/>
        <v>31898.881013836242</v>
      </c>
      <c r="Z34" s="277">
        <f t="shared" si="11"/>
        <v>33116.759822882304</v>
      </c>
      <c r="AA34" s="277">
        <f t="shared" si="11"/>
        <v>31296.40441135635</v>
      </c>
      <c r="AC34"/>
      <c r="AD34"/>
      <c r="AE34"/>
      <c r="AF34"/>
      <c r="AG34"/>
      <c r="AH34"/>
      <c r="AI34"/>
      <c r="AJ34"/>
      <c r="AK34"/>
    </row>
    <row r="35" spans="1:37" s="27" customFormat="1">
      <c r="A35" s="366" t="s">
        <v>88</v>
      </c>
      <c r="B35" s="263" t="s">
        <v>7</v>
      </c>
      <c r="C35" s="253" t="s">
        <v>47</v>
      </c>
      <c r="D35" s="253" t="s">
        <v>47</v>
      </c>
      <c r="E35" s="253" t="s">
        <v>47</v>
      </c>
      <c r="F35" s="253" t="s">
        <v>47</v>
      </c>
      <c r="G35" s="256">
        <f t="shared" ref="G35:AA35" si="12">G7-G23</f>
        <v>0</v>
      </c>
      <c r="H35" s="256">
        <f t="shared" si="12"/>
        <v>4</v>
      </c>
      <c r="I35" s="256">
        <f t="shared" si="12"/>
        <v>8</v>
      </c>
      <c r="J35" s="256">
        <f t="shared" si="12"/>
        <v>12</v>
      </c>
      <c r="K35" s="256">
        <f t="shared" si="12"/>
        <v>15.5</v>
      </c>
      <c r="L35" s="256">
        <f t="shared" si="12"/>
        <v>19</v>
      </c>
      <c r="M35" s="256">
        <f t="shared" si="12"/>
        <v>22.5</v>
      </c>
      <c r="N35" s="256">
        <f t="shared" si="12"/>
        <v>26</v>
      </c>
      <c r="O35" s="256">
        <f t="shared" si="12"/>
        <v>29.499999999999993</v>
      </c>
      <c r="P35" s="256">
        <f t="shared" si="12"/>
        <v>33</v>
      </c>
      <c r="Q35" s="256">
        <f t="shared" si="12"/>
        <v>33</v>
      </c>
      <c r="R35" s="256">
        <f t="shared" si="12"/>
        <v>33</v>
      </c>
      <c r="S35" s="256">
        <f t="shared" si="12"/>
        <v>33</v>
      </c>
      <c r="T35" s="256">
        <f t="shared" si="12"/>
        <v>33</v>
      </c>
      <c r="U35" s="256">
        <f t="shared" si="12"/>
        <v>33</v>
      </c>
      <c r="V35" s="256">
        <f t="shared" si="12"/>
        <v>33</v>
      </c>
      <c r="W35" s="256">
        <f t="shared" si="12"/>
        <v>33</v>
      </c>
      <c r="X35" s="256">
        <f t="shared" si="12"/>
        <v>33</v>
      </c>
      <c r="Y35" s="256">
        <f t="shared" si="12"/>
        <v>33</v>
      </c>
      <c r="Z35" s="256">
        <f t="shared" si="12"/>
        <v>33</v>
      </c>
      <c r="AA35" s="256">
        <f t="shared" si="12"/>
        <v>30.75</v>
      </c>
      <c r="AC35"/>
      <c r="AD35"/>
      <c r="AE35"/>
      <c r="AF35"/>
      <c r="AG35"/>
      <c r="AH35"/>
      <c r="AI35"/>
      <c r="AJ35"/>
      <c r="AK35"/>
    </row>
    <row r="36" spans="1:37" s="27" customFormat="1" ht="11.7" customHeight="1">
      <c r="A36" s="366" t="s">
        <v>581</v>
      </c>
      <c r="B36" s="263" t="s">
        <v>15</v>
      </c>
      <c r="C36" s="253" t="s">
        <v>47</v>
      </c>
      <c r="D36" s="253" t="s">
        <v>47</v>
      </c>
      <c r="E36" s="253" t="s">
        <v>47</v>
      </c>
      <c r="F36" s="253" t="s">
        <v>47</v>
      </c>
      <c r="G36" s="260">
        <f t="shared" ref="G36:AA36" si="13">G8*G38/(G38+G26)</f>
        <v>17.704152917658551</v>
      </c>
      <c r="H36" s="260">
        <f t="shared" si="13"/>
        <v>30.813816512661031</v>
      </c>
      <c r="I36" s="260">
        <f t="shared" si="13"/>
        <v>63.760672717561498</v>
      </c>
      <c r="J36" s="260">
        <f t="shared" si="13"/>
        <v>98.324753227845164</v>
      </c>
      <c r="K36" s="260">
        <f t="shared" si="13"/>
        <v>129.41773828032962</v>
      </c>
      <c r="L36" s="260">
        <f t="shared" si="13"/>
        <v>162.02202998363006</v>
      </c>
      <c r="M36" s="260">
        <f t="shared" si="13"/>
        <v>196.10167262440726</v>
      </c>
      <c r="N36" s="260">
        <f t="shared" si="13"/>
        <v>231.65442635573626</v>
      </c>
      <c r="O36" s="260">
        <f t="shared" si="13"/>
        <v>268.69609628690336</v>
      </c>
      <c r="P36" s="260">
        <f t="shared" si="13"/>
        <v>307.25314131610031</v>
      </c>
      <c r="Q36" s="260">
        <f t="shared" si="13"/>
        <v>313.70545728373844</v>
      </c>
      <c r="R36" s="260">
        <f t="shared" si="13"/>
        <v>320.2932718866968</v>
      </c>
      <c r="S36" s="260">
        <f t="shared" si="13"/>
        <v>327.01943059631736</v>
      </c>
      <c r="T36" s="260">
        <f t="shared" si="13"/>
        <v>333.88683863884</v>
      </c>
      <c r="U36" s="260">
        <f t="shared" si="13"/>
        <v>340.89846225025565</v>
      </c>
      <c r="V36" s="260">
        <f t="shared" si="13"/>
        <v>348.05732995751106</v>
      </c>
      <c r="W36" s="260">
        <f t="shared" si="13"/>
        <v>355.36653388661875</v>
      </c>
      <c r="X36" s="260">
        <f t="shared" si="13"/>
        <v>362.8292310982377</v>
      </c>
      <c r="Y36" s="260">
        <f t="shared" si="13"/>
        <v>370.44864495130065</v>
      </c>
      <c r="Z36" s="260">
        <f t="shared" si="13"/>
        <v>378.22806649527797</v>
      </c>
      <c r="AA36" s="260">
        <f t="shared" si="13"/>
        <v>355.98773228103579</v>
      </c>
      <c r="AC36"/>
      <c r="AD36"/>
      <c r="AE36"/>
      <c r="AF36"/>
      <c r="AG36"/>
      <c r="AH36"/>
      <c r="AI36"/>
      <c r="AJ36"/>
      <c r="AK36"/>
    </row>
    <row r="37" spans="1:37" s="27" customFormat="1">
      <c r="A37" s="366" t="s">
        <v>84</v>
      </c>
      <c r="B37" s="264" t="s">
        <v>15</v>
      </c>
      <c r="C37" s="253" t="s">
        <v>47</v>
      </c>
      <c r="D37" s="253" t="s">
        <v>47</v>
      </c>
      <c r="E37" s="253" t="s">
        <v>47</v>
      </c>
      <c r="F37" s="253" t="s">
        <v>47</v>
      </c>
      <c r="G37" s="256">
        <f t="shared" ref="G37:AA37" si="14">G125-G25</f>
        <v>16.359085656114715</v>
      </c>
      <c r="H37" s="256">
        <f t="shared" si="14"/>
        <v>37.116947677540288</v>
      </c>
      <c r="I37" s="256">
        <f t="shared" si="14"/>
        <v>113.68921073630588</v>
      </c>
      <c r="J37" s="256">
        <f t="shared" si="14"/>
        <v>232.15336832353651</v>
      </c>
      <c r="K37" s="256">
        <f t="shared" si="14"/>
        <v>459.24289130051591</v>
      </c>
      <c r="L37" s="256">
        <f t="shared" si="14"/>
        <v>670.8856580188309</v>
      </c>
      <c r="M37" s="256">
        <f t="shared" si="14"/>
        <v>946.8072774616013</v>
      </c>
      <c r="N37" s="256">
        <f t="shared" si="14"/>
        <v>1303.8768653657669</v>
      </c>
      <c r="O37" s="256">
        <f t="shared" si="14"/>
        <v>1763.0694095887332</v>
      </c>
      <c r="P37" s="256">
        <f t="shared" si="14"/>
        <v>2350.4201225922311</v>
      </c>
      <c r="Q37" s="256">
        <f t="shared" si="14"/>
        <v>2561.1621159208685</v>
      </c>
      <c r="R37" s="256">
        <f t="shared" si="14"/>
        <v>2790.7995345078407</v>
      </c>
      <c r="S37" s="256">
        <f t="shared" si="14"/>
        <v>3041.0265689131497</v>
      </c>
      <c r="T37" s="256">
        <f t="shared" si="14"/>
        <v>3313.6893132191772</v>
      </c>
      <c r="U37" s="256">
        <f t="shared" si="14"/>
        <v>3610.7993849153945</v>
      </c>
      <c r="V37" s="256">
        <f t="shared" si="14"/>
        <v>3765.1354112559834</v>
      </c>
      <c r="W37" s="256">
        <f t="shared" si="14"/>
        <v>3926.0682064799689</v>
      </c>
      <c r="X37" s="256">
        <f t="shared" si="14"/>
        <v>4093.8797356005298</v>
      </c>
      <c r="Y37" s="256">
        <f t="shared" si="14"/>
        <v>4268.8640156323727</v>
      </c>
      <c r="Z37" s="256">
        <f t="shared" si="14"/>
        <v>4451.3276307291871</v>
      </c>
      <c r="AA37" s="256">
        <f t="shared" si="14"/>
        <v>4325.1182055209774</v>
      </c>
      <c r="AB37" s="68"/>
      <c r="AC37"/>
      <c r="AD37"/>
      <c r="AE37"/>
      <c r="AF37"/>
      <c r="AG37"/>
      <c r="AH37"/>
      <c r="AI37"/>
      <c r="AJ37"/>
      <c r="AK37"/>
    </row>
    <row r="38" spans="1:37" s="27" customFormat="1">
      <c r="A38" s="366" t="s">
        <v>191</v>
      </c>
      <c r="B38" s="264" t="s">
        <v>15</v>
      </c>
      <c r="C38" s="253" t="s">
        <v>47</v>
      </c>
      <c r="D38" s="253" t="s">
        <v>47</v>
      </c>
      <c r="E38" s="253" t="s">
        <v>47</v>
      </c>
      <c r="F38" s="253" t="s">
        <v>47</v>
      </c>
      <c r="G38" s="260">
        <f t="shared" ref="G38:AA38" si="15">SUM(G39,G43)</f>
        <v>1003.9816002879488</v>
      </c>
      <c r="H38" s="260">
        <f t="shared" si="15"/>
        <v>1756.8229055729942</v>
      </c>
      <c r="I38" s="260">
        <f t="shared" si="15"/>
        <v>3683.832322128635</v>
      </c>
      <c r="J38" s="260">
        <f t="shared" si="15"/>
        <v>5768.0596272989269</v>
      </c>
      <c r="K38" s="260">
        <f t="shared" si="15"/>
        <v>7667.3357004508844</v>
      </c>
      <c r="L38" s="260">
        <f t="shared" si="15"/>
        <v>9714.6882768763207</v>
      </c>
      <c r="M38" s="260">
        <f t="shared" si="15"/>
        <v>11914.851234407812</v>
      </c>
      <c r="N38" s="260">
        <f t="shared" si="15"/>
        <v>14273.992214917667</v>
      </c>
      <c r="O38" s="260">
        <f t="shared" si="15"/>
        <v>16799.192944665509</v>
      </c>
      <c r="P38" s="260">
        <f t="shared" si="15"/>
        <v>19498.270180186755</v>
      </c>
      <c r="Q38" s="260">
        <f t="shared" si="15"/>
        <v>20244.092868852851</v>
      </c>
      <c r="R38" s="260">
        <f t="shared" si="15"/>
        <v>21016.366254851531</v>
      </c>
      <c r="S38" s="260">
        <f t="shared" si="15"/>
        <v>21816.122395656523</v>
      </c>
      <c r="T38" s="260">
        <f t="shared" si="15"/>
        <v>22644.464241186215</v>
      </c>
      <c r="U38" s="260">
        <f t="shared" si="15"/>
        <v>23502.582406123423</v>
      </c>
      <c r="V38" s="260">
        <f t="shared" si="15"/>
        <v>24391.766097382075</v>
      </c>
      <c r="W38" s="260">
        <f t="shared" si="15"/>
        <v>25313.366697592493</v>
      </c>
      <c r="X38" s="260">
        <f t="shared" si="15"/>
        <v>26268.809775122503</v>
      </c>
      <c r="Y38" s="260">
        <f t="shared" si="15"/>
        <v>27259.568353252569</v>
      </c>
      <c r="Z38" s="260">
        <f t="shared" si="15"/>
        <v>28287.204125657838</v>
      </c>
      <c r="AA38" s="260">
        <f t="shared" si="15"/>
        <v>26615.298473554336</v>
      </c>
      <c r="AB38" s="68"/>
      <c r="AC38"/>
      <c r="AD38"/>
      <c r="AE38"/>
      <c r="AF38"/>
      <c r="AG38"/>
      <c r="AH38"/>
      <c r="AI38"/>
      <c r="AJ38"/>
      <c r="AK38"/>
    </row>
    <row r="39" spans="1:37" s="27" customFormat="1">
      <c r="A39" s="366" t="s">
        <v>837</v>
      </c>
      <c r="B39" s="264" t="s">
        <v>15</v>
      </c>
      <c r="C39" s="253" t="s">
        <v>47</v>
      </c>
      <c r="D39" s="253" t="s">
        <v>47</v>
      </c>
      <c r="E39" s="253" t="s">
        <v>47</v>
      </c>
      <c r="F39" s="253" t="s">
        <v>47</v>
      </c>
      <c r="G39" s="256">
        <f t="shared" ref="G39:AA39" si="16">SUM(G40:G42)</f>
        <v>864.92807938293117</v>
      </c>
      <c r="H39" s="256">
        <f t="shared" si="16"/>
        <v>1508.7577185520695</v>
      </c>
      <c r="I39" s="256">
        <f t="shared" si="16"/>
        <v>3157.7100227826522</v>
      </c>
      <c r="J39" s="256">
        <f t="shared" si="16"/>
        <v>4936.4678725198355</v>
      </c>
      <c r="K39" s="256">
        <f t="shared" si="16"/>
        <v>6545.434517601685</v>
      </c>
      <c r="L39" s="256">
        <f t="shared" si="16"/>
        <v>8275.0666578520395</v>
      </c>
      <c r="M39" s="256">
        <f t="shared" si="16"/>
        <v>10128.902126053061</v>
      </c>
      <c r="N39" s="256">
        <f t="shared" si="16"/>
        <v>12111.563126027324</v>
      </c>
      <c r="O39" s="256">
        <f t="shared" si="16"/>
        <v>14228.346605653242</v>
      </c>
      <c r="P39" s="256">
        <f t="shared" si="16"/>
        <v>16485.093588932752</v>
      </c>
      <c r="Q39" s="256">
        <f t="shared" si="16"/>
        <v>17090.803566105536</v>
      </c>
      <c r="R39" s="256">
        <f t="shared" si="16"/>
        <v>17716.448999526467</v>
      </c>
      <c r="S39" s="256">
        <f t="shared" si="16"/>
        <v>18362.758987958841</v>
      </c>
      <c r="T39" s="256">
        <f t="shared" si="16"/>
        <v>19030.51943503059</v>
      </c>
      <c r="U39" s="256">
        <f t="shared" si="16"/>
        <v>19720.589166481564</v>
      </c>
      <c r="V39" s="256">
        <f t="shared" si="16"/>
        <v>20433.910172096868</v>
      </c>
      <c r="W39" s="256">
        <f t="shared" si="16"/>
        <v>21171.470471781526</v>
      </c>
      <c r="X39" s="256">
        <f t="shared" si="16"/>
        <v>21934.315374811325</v>
      </c>
      <c r="Y39" s="256">
        <f t="shared" si="16"/>
        <v>22723.519963326922</v>
      </c>
      <c r="Z39" s="256">
        <f t="shared" si="16"/>
        <v>23540.229485600645</v>
      </c>
      <c r="AA39" s="256">
        <f t="shared" si="16"/>
        <v>22035.865767502357</v>
      </c>
      <c r="AB39" s="68"/>
      <c r="AC39"/>
      <c r="AD39"/>
      <c r="AE39"/>
      <c r="AF39"/>
      <c r="AG39"/>
      <c r="AH39"/>
      <c r="AI39"/>
      <c r="AJ39"/>
      <c r="AK39"/>
    </row>
    <row r="40" spans="1:37" s="27" customFormat="1">
      <c r="A40" s="366" t="s">
        <v>838</v>
      </c>
      <c r="B40" s="264" t="s">
        <v>15</v>
      </c>
      <c r="C40" s="253" t="s">
        <v>47</v>
      </c>
      <c r="D40" s="253" t="s">
        <v>47</v>
      </c>
      <c r="E40" s="253" t="s">
        <v>47</v>
      </c>
      <c r="F40" s="253" t="s">
        <v>47</v>
      </c>
      <c r="G40" s="256">
        <f t="shared" ref="G40:AA40" si="17">G152-G28</f>
        <v>362.11244879497616</v>
      </c>
      <c r="H40" s="256">
        <f t="shared" si="17"/>
        <v>617.92708092551959</v>
      </c>
      <c r="I40" s="256">
        <f t="shared" si="17"/>
        <v>1281.9103351935323</v>
      </c>
      <c r="J40" s="256">
        <f t="shared" si="17"/>
        <v>1993.8091607909048</v>
      </c>
      <c r="K40" s="256">
        <f t="shared" si="17"/>
        <v>2606.5952302770693</v>
      </c>
      <c r="L40" s="256">
        <f t="shared" si="17"/>
        <v>3260.9572108207726</v>
      </c>
      <c r="M40" s="256">
        <f t="shared" si="17"/>
        <v>3958.8022094738653</v>
      </c>
      <c r="N40" s="256">
        <f t="shared" si="17"/>
        <v>4702.093262501714</v>
      </c>
      <c r="O40" s="256">
        <f t="shared" si="17"/>
        <v>5492.8553397156657</v>
      </c>
      <c r="P40" s="256">
        <f t="shared" si="17"/>
        <v>6333.2015406465071</v>
      </c>
      <c r="Q40" s="256">
        <f t="shared" si="17"/>
        <v>6557.9879390289543</v>
      </c>
      <c r="R40" s="256">
        <f t="shared" si="17"/>
        <v>6789.6856825993364</v>
      </c>
      <c r="S40" s="256">
        <f t="shared" si="17"/>
        <v>7028.5246839749807</v>
      </c>
      <c r="T40" s="256">
        <f t="shared" si="17"/>
        <v>7274.7535163766006</v>
      </c>
      <c r="U40" s="256">
        <f t="shared" si="17"/>
        <v>7528.6453117226047</v>
      </c>
      <c r="V40" s="256">
        <f t="shared" si="17"/>
        <v>7790.5013576362571</v>
      </c>
      <c r="W40" s="256">
        <f t="shared" si="17"/>
        <v>8060.6366104423187</v>
      </c>
      <c r="X40" s="256">
        <f t="shared" si="17"/>
        <v>8339.3837093909005</v>
      </c>
      <c r="Y40" s="256">
        <f t="shared" si="17"/>
        <v>8627.0822216670022</v>
      </c>
      <c r="Z40" s="256">
        <f t="shared" si="17"/>
        <v>8924.0937102979478</v>
      </c>
      <c r="AA40" s="256">
        <f t="shared" si="17"/>
        <v>8065.4781309237096</v>
      </c>
      <c r="AB40" s="68"/>
      <c r="AC40"/>
      <c r="AD40"/>
      <c r="AE40"/>
      <c r="AF40"/>
      <c r="AG40"/>
      <c r="AH40"/>
      <c r="AI40"/>
      <c r="AJ40"/>
      <c r="AK40"/>
    </row>
    <row r="41" spans="1:37" s="27" customFormat="1">
      <c r="A41" s="366" t="s">
        <v>839</v>
      </c>
      <c r="B41" s="264" t="s">
        <v>15</v>
      </c>
      <c r="C41" s="253" t="s">
        <v>47</v>
      </c>
      <c r="D41" s="253" t="s">
        <v>47</v>
      </c>
      <c r="E41" s="253" t="s">
        <v>47</v>
      </c>
      <c r="F41" s="253" t="s">
        <v>47</v>
      </c>
      <c r="G41" s="256">
        <f t="shared" ref="G41:AA41" si="18">G176*(G40/(G28+G40))</f>
        <v>35.522407163405894</v>
      </c>
      <c r="H41" s="256">
        <f t="shared" si="18"/>
        <v>64.275894087296365</v>
      </c>
      <c r="I41" s="256">
        <f t="shared" si="18"/>
        <v>138.22411126090802</v>
      </c>
      <c r="J41" s="256">
        <f t="shared" si="18"/>
        <v>221.44522330917945</v>
      </c>
      <c r="K41" s="256">
        <f t="shared" si="18"/>
        <v>302.6970343817207</v>
      </c>
      <c r="L41" s="256">
        <f t="shared" si="18"/>
        <v>393.48783038103124</v>
      </c>
      <c r="M41" s="256">
        <f t="shared" si="18"/>
        <v>494.43713649753073</v>
      </c>
      <c r="N41" s="256">
        <f t="shared" si="18"/>
        <v>606.2767277538278</v>
      </c>
      <c r="O41" s="256">
        <f t="shared" si="18"/>
        <v>729.82568109596787</v>
      </c>
      <c r="P41" s="256">
        <f t="shared" si="18"/>
        <v>865.98364682127169</v>
      </c>
      <c r="Q41" s="256">
        <f t="shared" si="18"/>
        <v>917.31943468500663</v>
      </c>
      <c r="R41" s="256">
        <f t="shared" si="18"/>
        <v>971.54573562787732</v>
      </c>
      <c r="S41" s="256">
        <f t="shared" si="18"/>
        <v>1028.8246318064801</v>
      </c>
      <c r="T41" s="256">
        <f t="shared" si="18"/>
        <v>1089.3289889660671</v>
      </c>
      <c r="U41" s="256">
        <f t="shared" si="18"/>
        <v>1153.2440276509453</v>
      </c>
      <c r="V41" s="256">
        <f t="shared" si="18"/>
        <v>1220.768694103092</v>
      </c>
      <c r="W41" s="256">
        <f t="shared" si="18"/>
        <v>1292.1142545695784</v>
      </c>
      <c r="X41" s="256">
        <f t="shared" si="18"/>
        <v>1367.5056545677839</v>
      </c>
      <c r="Y41" s="256">
        <f t="shared" si="18"/>
        <v>1447.1805266228471</v>
      </c>
      <c r="Z41" s="256">
        <f t="shared" si="18"/>
        <v>1531.3924226606985</v>
      </c>
      <c r="AA41" s="256">
        <f t="shared" si="18"/>
        <v>1493.7639080392153</v>
      </c>
      <c r="AB41" s="68"/>
      <c r="AC41"/>
      <c r="AD41"/>
      <c r="AE41"/>
      <c r="AF41"/>
      <c r="AG41"/>
      <c r="AH41"/>
      <c r="AI41"/>
      <c r="AJ41"/>
      <c r="AK41"/>
    </row>
    <row r="42" spans="1:37" s="27" customFormat="1">
      <c r="A42" s="366" t="s">
        <v>840</v>
      </c>
      <c r="B42" s="264" t="s">
        <v>15</v>
      </c>
      <c r="C42" s="253" t="s">
        <v>47</v>
      </c>
      <c r="D42" s="253" t="s">
        <v>47</v>
      </c>
      <c r="E42" s="253" t="s">
        <v>47</v>
      </c>
      <c r="F42" s="253" t="s">
        <v>47</v>
      </c>
      <c r="G42" s="256">
        <f>'Sensitivity calculations'!G164*(G40/(G40+G28))</f>
        <v>467.29322342454918</v>
      </c>
      <c r="H42" s="256">
        <f>'Sensitivity calculations'!H164*(H40/(H40+H28))</f>
        <v>826.55474353925365</v>
      </c>
      <c r="I42" s="256">
        <f>'Sensitivity calculations'!I164*(I40/(I40+I28))</f>
        <v>1737.5755763282118</v>
      </c>
      <c r="J42" s="256">
        <f>'Sensitivity calculations'!J164*(J40/(J40+J28))</f>
        <v>2721.2134884197517</v>
      </c>
      <c r="K42" s="256">
        <f>'Sensitivity calculations'!K164*(K40/(K40+K28))</f>
        <v>3636.1422529428951</v>
      </c>
      <c r="L42" s="256">
        <f>'Sensitivity calculations'!L164*(L40/(L40+L28))</f>
        <v>4620.6216166502354</v>
      </c>
      <c r="M42" s="256">
        <f>'Sensitivity calculations'!M164*(M40/(M40+M28))</f>
        <v>5675.6627800816659</v>
      </c>
      <c r="N42" s="256">
        <f>'Sensitivity calculations'!N164*(N40/(N40+N28))</f>
        <v>6803.1931357717822</v>
      </c>
      <c r="O42" s="256">
        <f>'Sensitivity calculations'!O164*(O40/(O40+O28))</f>
        <v>8005.6655848416085</v>
      </c>
      <c r="P42" s="256">
        <f>'Sensitivity calculations'!P164*(P40/(P40+P28))</f>
        <v>9285.9084014649725</v>
      </c>
      <c r="Q42" s="256">
        <f>'Sensitivity calculations'!Q164*(Q40/(Q40+Q28))</f>
        <v>9615.4961923915762</v>
      </c>
      <c r="R42" s="256">
        <f>'Sensitivity calculations'!R164*(R40/(R40+R28))</f>
        <v>9955.2175812992537</v>
      </c>
      <c r="S42" s="256">
        <f>'Sensitivity calculations'!S164*(S40/(S40+S28))</f>
        <v>10305.409672177382</v>
      </c>
      <c r="T42" s="256">
        <f>'Sensitivity calculations'!T164*(T40/(T40+T28))</f>
        <v>10666.436929687923</v>
      </c>
      <c r="U42" s="256">
        <f>'Sensitivity calculations'!U164*(U40/(U40+U28))</f>
        <v>11038.699827108016</v>
      </c>
      <c r="V42" s="256">
        <f>'Sensitivity calculations'!V164*(V40/(V40+V28))</f>
        <v>11422.640120357517</v>
      </c>
      <c r="W42" s="256">
        <f>'Sensitivity calculations'!W164*(W40/(W40+W28))</f>
        <v>11818.71960676963</v>
      </c>
      <c r="X42" s="256">
        <f>'Sensitivity calculations'!X164*(X40/(X40+X28))</f>
        <v>12227.426010852641</v>
      </c>
      <c r="Y42" s="256">
        <f>'Sensitivity calculations'!Y164*(Y40/(Y40+Y28))</f>
        <v>12649.257215037074</v>
      </c>
      <c r="Z42" s="256">
        <f>'Sensitivity calculations'!Z164*(Z40/(Z40+Z28))</f>
        <v>13084.743352641999</v>
      </c>
      <c r="AA42" s="256">
        <f>'Sensitivity calculations'!AA164*(AA40/(AA40+AA28))</f>
        <v>12476.623728539435</v>
      </c>
      <c r="AB42" s="68"/>
      <c r="AC42"/>
      <c r="AD42"/>
      <c r="AE42"/>
      <c r="AF42"/>
      <c r="AG42"/>
      <c r="AH42"/>
      <c r="AI42"/>
      <c r="AJ42"/>
      <c r="AK42"/>
    </row>
    <row r="43" spans="1:37" s="27" customFormat="1">
      <c r="A43" s="366" t="s">
        <v>841</v>
      </c>
      <c r="B43" s="264" t="s">
        <v>15</v>
      </c>
      <c r="C43" s="253" t="s">
        <v>47</v>
      </c>
      <c r="D43" s="253" t="s">
        <v>47</v>
      </c>
      <c r="E43" s="253" t="s">
        <v>47</v>
      </c>
      <c r="F43" s="253" t="s">
        <v>47</v>
      </c>
      <c r="G43" s="256">
        <f>'Main calculations'!$C$244*'Sensitivity calculations'!G202*'Sensitivity calculations'!G59/100*(G40/(G40+G28))</f>
        <v>139.05352090501771</v>
      </c>
      <c r="H43" s="256">
        <f>'Main calculations'!$C$244*'Sensitivity calculations'!H202*'Sensitivity calculations'!H59/100*(H40/(H40+H28))</f>
        <v>248.06518702092461</v>
      </c>
      <c r="I43" s="256">
        <f>'Main calculations'!$C$244*'Sensitivity calculations'!I202*'Sensitivity calculations'!I59/100*(I40/(I40+I28))</f>
        <v>526.12229934598292</v>
      </c>
      <c r="J43" s="256">
        <f>'Main calculations'!$C$244*'Sensitivity calculations'!J202*'Sensitivity calculations'!J59/100*(J40/(J40+J28))</f>
        <v>831.59175477909173</v>
      </c>
      <c r="K43" s="256">
        <f>'Main calculations'!$C$244*'Sensitivity calculations'!K202*'Sensitivity calculations'!K59/100*(K40/(K40+K28))</f>
        <v>1121.9011828491994</v>
      </c>
      <c r="L43" s="256">
        <f>'Main calculations'!$C$244*'Sensitivity calculations'!L202*'Sensitivity calculations'!L59/100*(L40/(L40+L28))</f>
        <v>1439.6216190242812</v>
      </c>
      <c r="M43" s="256">
        <f>'Main calculations'!$C$244*'Sensitivity calculations'!M202*'Sensitivity calculations'!M59/100*(M40/(M40+M28))</f>
        <v>1785.9491083547505</v>
      </c>
      <c r="N43" s="256">
        <f>'Main calculations'!$C$244*'Sensitivity calculations'!N202*'Sensitivity calculations'!N59/100*(N40/(N40+N28))</f>
        <v>2162.4290888903429</v>
      </c>
      <c r="O43" s="256">
        <f>'Main calculations'!$C$244*'Sensitivity calculations'!O202*'Sensitivity calculations'!O59/100*(O40/(O40+O28))</f>
        <v>2570.8463390122674</v>
      </c>
      <c r="P43" s="256">
        <f>'Main calculations'!$C$244*'Sensitivity calculations'!P202*'Sensitivity calculations'!P59/100*(P40/(P40+P28))</f>
        <v>3013.1765912540041</v>
      </c>
      <c r="Q43" s="256">
        <f>'Main calculations'!$C$244*'Sensitivity calculations'!Q202*'Sensitivity calculations'!Q59/100*(Q40/(Q40+Q28))</f>
        <v>3153.2893027473151</v>
      </c>
      <c r="R43" s="256">
        <f>'Main calculations'!$C$244*'Sensitivity calculations'!R202*'Sensitivity calculations'!R59/100*(R40/(R40+R28))</f>
        <v>3299.9172553250655</v>
      </c>
      <c r="S43" s="256">
        <f>'Main calculations'!$C$244*'Sensitivity calculations'!S202*'Sensitivity calculations'!S59/100*(S40/(S40+S28))</f>
        <v>3453.3634076976809</v>
      </c>
      <c r="T43" s="256">
        <f>'Main calculations'!$C$244*'Sensitivity calculations'!T202*'Sensitivity calculations'!T59/100*(T40/(T40+T28))</f>
        <v>3613.9448061556232</v>
      </c>
      <c r="U43" s="256">
        <f>'Main calculations'!$C$244*'Sensitivity calculations'!U202*'Sensitivity calculations'!U59/100*(U40/(U40+U28))</f>
        <v>3781.9932396418599</v>
      </c>
      <c r="V43" s="256">
        <f>'Main calculations'!$C$244*'Sensitivity calculations'!V202*'Sensitivity calculations'!V59/100*(V40/(V40+V28))</f>
        <v>3957.8559252852069</v>
      </c>
      <c r="W43" s="256">
        <f>'Main calculations'!$C$244*'Sensitivity calculations'!W202*'Sensitivity calculations'!W59/100*(W40/(W40+W28))</f>
        <v>4141.8962258109677</v>
      </c>
      <c r="X43" s="256">
        <f>'Main calculations'!$C$244*'Sensitivity calculations'!X202*'Sensitivity calculations'!X59/100*(X40/(X40+X28))</f>
        <v>4334.4944003111777</v>
      </c>
      <c r="Y43" s="256">
        <f>'Main calculations'!$C$244*'Sensitivity calculations'!Y202*'Sensitivity calculations'!Y59/100*(Y40/(Y40+Y28))</f>
        <v>4536.0483899256469</v>
      </c>
      <c r="Z43" s="256">
        <f>'Main calculations'!$C$244*'Sensitivity calculations'!Z202*'Sensitivity calculations'!Z59/100*(Z40/(Z40+Z28))</f>
        <v>4746.9746400571912</v>
      </c>
      <c r="AA43" s="256">
        <f>'Main calculations'!$C$244*'Sensitivity calculations'!AA202*'Sensitivity calculations'!AA59/100*(AA40/(AA40+AA28))</f>
        <v>4579.4327060519799</v>
      </c>
      <c r="AB43" s="68"/>
      <c r="AC43"/>
      <c r="AD43"/>
      <c r="AE43"/>
      <c r="AF43"/>
      <c r="AG43"/>
      <c r="AH43"/>
      <c r="AI43"/>
      <c r="AJ43"/>
      <c r="AK43"/>
    </row>
    <row r="44" spans="1:37" s="27" customFormat="1">
      <c r="A44" s="366" t="s">
        <v>836</v>
      </c>
      <c r="B44" s="264" t="s">
        <v>15</v>
      </c>
      <c r="C44" s="253" t="s">
        <v>47</v>
      </c>
      <c r="D44" s="253" t="s">
        <v>47</v>
      </c>
      <c r="E44" s="253" t="s">
        <v>47</v>
      </c>
      <c r="F44" s="253" t="s">
        <v>47</v>
      </c>
      <c r="G44" s="256">
        <f>G43*'Main calculations'!$C$247</f>
        <v>41.020788666980231</v>
      </c>
      <c r="H44" s="256">
        <f>H43*'Main calculations'!$C$247</f>
        <v>73.179230171172776</v>
      </c>
      <c r="I44" s="256">
        <f>I43*'Main calculations'!$C$247</f>
        <v>155.20607830706498</v>
      </c>
      <c r="J44" s="256">
        <f>J43*'Main calculations'!$C$247</f>
        <v>245.3195676598321</v>
      </c>
      <c r="K44" s="256">
        <f>K43*'Main calculations'!$C$247</f>
        <v>330.96084894051387</v>
      </c>
      <c r="L44" s="256">
        <f>L43*'Main calculations'!$C$247</f>
        <v>424.68837761216304</v>
      </c>
      <c r="M44" s="256">
        <f>M43*'Main calculations'!$C$247</f>
        <v>526.85498696465152</v>
      </c>
      <c r="N44" s="256">
        <f>N43*'Main calculations'!$C$247</f>
        <v>637.91658122265119</v>
      </c>
      <c r="O44" s="256">
        <f>O43*'Main calculations'!$C$247</f>
        <v>758.39967000861895</v>
      </c>
      <c r="P44" s="256">
        <f>P43*'Main calculations'!$C$247</f>
        <v>888.88709441993126</v>
      </c>
      <c r="Q44" s="256">
        <f>Q43*'Main calculations'!$C$247</f>
        <v>930.22034431045813</v>
      </c>
      <c r="R44" s="256">
        <f>R43*'Main calculations'!$C$247</f>
        <v>973.47559032089441</v>
      </c>
      <c r="S44" s="256">
        <f>S43*'Main calculations'!$C$247</f>
        <v>1018.742205270816</v>
      </c>
      <c r="T44" s="256">
        <f>T43*'Main calculations'!$C$247</f>
        <v>1066.113717815909</v>
      </c>
      <c r="U44" s="256">
        <f>U43*'Main calculations'!$C$247</f>
        <v>1115.6880056943487</v>
      </c>
      <c r="V44" s="256">
        <f>V43*'Main calculations'!$C$247</f>
        <v>1167.5674979591363</v>
      </c>
      <c r="W44" s="256">
        <f>W43*'Main calculations'!$C$247</f>
        <v>1221.8593866142357</v>
      </c>
      <c r="X44" s="256">
        <f>X43*'Main calculations'!$C$247</f>
        <v>1278.6758480917977</v>
      </c>
      <c r="Y44" s="256">
        <f>Y43*'Main calculations'!$C$247</f>
        <v>1338.134275028066</v>
      </c>
      <c r="Z44" s="256">
        <f>Z43*'Main calculations'!$C$247</f>
        <v>1400.3575188168716</v>
      </c>
      <c r="AA44" s="256">
        <f>AA43*'Main calculations'!$C$247</f>
        <v>1350.9326482853344</v>
      </c>
      <c r="AB44" s="68"/>
      <c r="AC44"/>
      <c r="AD44"/>
      <c r="AE44"/>
      <c r="AF44"/>
      <c r="AG44"/>
      <c r="AH44"/>
      <c r="AI44"/>
      <c r="AJ44"/>
      <c r="AK44"/>
    </row>
    <row r="45" spans="1:37" s="27" customFormat="1">
      <c r="A45" s="366"/>
      <c r="B45" s="264"/>
      <c r="C45" s="253"/>
      <c r="D45" s="253"/>
      <c r="E45" s="253"/>
      <c r="F45" s="253"/>
      <c r="G45" s="256"/>
      <c r="H45" s="256"/>
      <c r="I45" s="256"/>
      <c r="J45" s="256"/>
      <c r="K45" s="256"/>
      <c r="L45" s="261"/>
      <c r="M45" s="256"/>
      <c r="N45" s="256"/>
      <c r="O45" s="256"/>
      <c r="P45" s="256"/>
      <c r="Q45" s="256"/>
      <c r="R45" s="256"/>
      <c r="S45" s="256"/>
      <c r="T45" s="256"/>
      <c r="U45" s="256"/>
      <c r="V45" s="256"/>
      <c r="W45" s="256"/>
      <c r="X45" s="256"/>
      <c r="Y45" s="256"/>
      <c r="Z45" s="256"/>
      <c r="AA45" s="256"/>
      <c r="AB45" s="68"/>
      <c r="AC45"/>
      <c r="AD45"/>
      <c r="AE45"/>
      <c r="AF45"/>
      <c r="AG45"/>
      <c r="AH45"/>
      <c r="AI45"/>
      <c r="AJ45"/>
      <c r="AK45"/>
    </row>
    <row r="46" spans="1:37" s="27" customFormat="1">
      <c r="A46" s="25" t="s">
        <v>525</v>
      </c>
      <c r="B46" s="264"/>
      <c r="C46" s="253"/>
      <c r="D46" s="253"/>
      <c r="E46" s="253"/>
      <c r="F46" s="253"/>
      <c r="G46" s="262"/>
      <c r="H46" s="256"/>
      <c r="I46" s="256"/>
      <c r="J46" s="256"/>
      <c r="K46" s="256"/>
      <c r="L46" s="256"/>
      <c r="M46" s="256"/>
      <c r="N46" s="256"/>
      <c r="O46" s="256"/>
      <c r="P46" s="256"/>
      <c r="Q46" s="256"/>
      <c r="R46" s="256"/>
      <c r="S46" s="256"/>
      <c r="T46" s="256"/>
      <c r="U46" s="256"/>
      <c r="V46" s="256"/>
      <c r="W46" s="256"/>
      <c r="X46" s="256"/>
      <c r="Y46" s="256"/>
      <c r="Z46" s="256"/>
      <c r="AA46" s="256"/>
      <c r="AC46"/>
      <c r="AD46"/>
      <c r="AE46"/>
      <c r="AF46"/>
      <c r="AG46"/>
      <c r="AH46"/>
      <c r="AI46"/>
      <c r="AJ46"/>
      <c r="AK46"/>
    </row>
    <row r="47" spans="1:37" s="27" customFormat="1">
      <c r="A47" s="366" t="s">
        <v>557</v>
      </c>
      <c r="B47" s="265" t="s">
        <v>15</v>
      </c>
      <c r="C47" s="258" t="s">
        <v>47</v>
      </c>
      <c r="D47" s="258" t="s">
        <v>47</v>
      </c>
      <c r="E47" s="258" t="s">
        <v>47</v>
      </c>
      <c r="F47" s="258" t="s">
        <v>47</v>
      </c>
      <c r="G47" s="277">
        <f t="shared" ref="G47:AA47" si="19">G114+G118</f>
        <v>55.1112195452789</v>
      </c>
      <c r="H47" s="277">
        <f t="shared" si="19"/>
        <v>104.7876902485762</v>
      </c>
      <c r="I47" s="277">
        <f t="shared" si="19"/>
        <v>155.17162428689721</v>
      </c>
      <c r="J47" s="277">
        <f t="shared" si="19"/>
        <v>206.32551327138941</v>
      </c>
      <c r="K47" s="277">
        <f t="shared" si="19"/>
        <v>252.01553315898704</v>
      </c>
      <c r="L47" s="277">
        <f t="shared" si="19"/>
        <v>298.44309361243018</v>
      </c>
      <c r="M47" s="277">
        <f t="shared" si="19"/>
        <v>345.64009765293247</v>
      </c>
      <c r="N47" s="277">
        <f t="shared" si="19"/>
        <v>393.63972220768323</v>
      </c>
      <c r="O47" s="277">
        <f t="shared" si="19"/>
        <v>442.47601857441725</v>
      </c>
      <c r="P47" s="277">
        <f t="shared" si="19"/>
        <v>492.18202212059674</v>
      </c>
      <c r="Q47" s="277">
        <f t="shared" si="19"/>
        <v>496.45491786679725</v>
      </c>
      <c r="R47" s="277">
        <f t="shared" si="19"/>
        <v>500.84360950138932</v>
      </c>
      <c r="S47" s="277">
        <f t="shared" si="19"/>
        <v>505.34620423494493</v>
      </c>
      <c r="T47" s="277">
        <f t="shared" si="19"/>
        <v>509.96019093292676</v>
      </c>
      <c r="U47" s="277">
        <f t="shared" si="19"/>
        <v>514.68213846934339</v>
      </c>
      <c r="V47" s="277">
        <f t="shared" si="19"/>
        <v>519.50759622192595</v>
      </c>
      <c r="W47" s="277">
        <f t="shared" si="19"/>
        <v>524.43219206439403</v>
      </c>
      <c r="X47" s="277">
        <f t="shared" si="19"/>
        <v>529.45140415542414</v>
      </c>
      <c r="Y47" s="277">
        <f t="shared" si="19"/>
        <v>534.56128220592143</v>
      </c>
      <c r="Z47" s="277">
        <f t="shared" si="19"/>
        <v>539.75750652970532</v>
      </c>
      <c r="AA47" s="277">
        <f t="shared" si="19"/>
        <v>512.33212496610406</v>
      </c>
      <c r="AB47" s="19"/>
      <c r="AC47"/>
      <c r="AD47"/>
      <c r="AE47"/>
      <c r="AF47"/>
      <c r="AG47"/>
      <c r="AH47"/>
      <c r="AI47"/>
      <c r="AJ47"/>
      <c r="AK47"/>
    </row>
    <row r="48" spans="1:37" s="27" customFormat="1">
      <c r="A48" s="366"/>
      <c r="B48" s="264"/>
      <c r="C48" s="253"/>
      <c r="D48" s="253"/>
      <c r="E48" s="253"/>
      <c r="F48" s="253"/>
      <c r="G48" s="256"/>
      <c r="H48" s="256"/>
      <c r="I48" s="256"/>
      <c r="J48" s="256"/>
      <c r="K48" s="256"/>
      <c r="L48" s="256"/>
      <c r="M48" s="256"/>
      <c r="N48" s="256"/>
      <c r="O48" s="256"/>
      <c r="P48" s="256"/>
      <c r="Q48" s="256"/>
      <c r="R48" s="256"/>
      <c r="S48" s="256"/>
      <c r="T48" s="256"/>
      <c r="U48" s="256"/>
      <c r="V48" s="256"/>
      <c r="W48" s="256"/>
      <c r="X48" s="256"/>
      <c r="Y48" s="256"/>
      <c r="Z48" s="256"/>
      <c r="AA48" s="256"/>
      <c r="AC48"/>
      <c r="AD48"/>
      <c r="AE48"/>
      <c r="AF48"/>
      <c r="AG48"/>
      <c r="AH48"/>
      <c r="AI48"/>
      <c r="AJ48"/>
      <c r="AK48"/>
    </row>
    <row r="49" spans="1:37" s="27" customFormat="1" ht="23.15">
      <c r="A49" s="25" t="s">
        <v>520</v>
      </c>
      <c r="B49" s="265" t="s">
        <v>15</v>
      </c>
      <c r="C49" s="258" t="s">
        <v>47</v>
      </c>
      <c r="D49" s="258" t="s">
        <v>47</v>
      </c>
      <c r="E49" s="258" t="s">
        <v>47</v>
      </c>
      <c r="F49" s="258" t="s">
        <v>47</v>
      </c>
      <c r="G49" s="277">
        <f t="shared" ref="G49:AA49" si="20">G50</f>
        <v>420.70527965748988</v>
      </c>
      <c r="H49" s="277">
        <f t="shared" si="20"/>
        <v>831.61747530517471</v>
      </c>
      <c r="I49" s="277">
        <f t="shared" si="20"/>
        <v>1279.8348351571551</v>
      </c>
      <c r="J49" s="277">
        <f t="shared" si="20"/>
        <v>1767.9382445893912</v>
      </c>
      <c r="K49" s="277">
        <f t="shared" si="20"/>
        <v>2242.6028763185427</v>
      </c>
      <c r="L49" s="277">
        <f t="shared" si="20"/>
        <v>2757.5885943291419</v>
      </c>
      <c r="M49" s="277">
        <f t="shared" si="20"/>
        <v>3315.6189160454069</v>
      </c>
      <c r="N49" s="277">
        <f t="shared" si="20"/>
        <v>3919.5834617431974</v>
      </c>
      <c r="O49" s="277">
        <f t="shared" si="20"/>
        <v>4572.5475131896601</v>
      </c>
      <c r="P49" s="277">
        <f t="shared" si="20"/>
        <v>5277.7621020804936</v>
      </c>
      <c r="Q49" s="277">
        <f t="shared" si="20"/>
        <v>5523.1780398272358</v>
      </c>
      <c r="R49" s="277">
        <f t="shared" si="20"/>
        <v>5780.0058186792021</v>
      </c>
      <c r="S49" s="277">
        <f t="shared" si="20"/>
        <v>6048.7760892477863</v>
      </c>
      <c r="T49" s="277">
        <f t="shared" si="20"/>
        <v>6330.04417739781</v>
      </c>
      <c r="U49" s="277">
        <f t="shared" si="20"/>
        <v>6624.3912316468068</v>
      </c>
      <c r="V49" s="277">
        <f t="shared" si="20"/>
        <v>6932.4254239183838</v>
      </c>
      <c r="W49" s="277">
        <f t="shared" si="20"/>
        <v>7254.7832061305862</v>
      </c>
      <c r="X49" s="277">
        <f t="shared" si="20"/>
        <v>7592.1306252156592</v>
      </c>
      <c r="Y49" s="277">
        <f t="shared" si="20"/>
        <v>7945.1646992881888</v>
      </c>
      <c r="Z49" s="277">
        <f t="shared" si="20"/>
        <v>8314.6148578050888</v>
      </c>
      <c r="AA49" s="277">
        <f t="shared" si="20"/>
        <v>8179.1697817714439</v>
      </c>
      <c r="AB49" s="19"/>
      <c r="AC49"/>
      <c r="AD49"/>
      <c r="AE49"/>
      <c r="AF49"/>
      <c r="AG49"/>
      <c r="AH49"/>
      <c r="AI49"/>
      <c r="AJ49"/>
      <c r="AK49"/>
    </row>
    <row r="50" spans="1:37" s="27" customFormat="1" ht="23.15">
      <c r="A50" s="366" t="s">
        <v>842</v>
      </c>
      <c r="B50" s="264" t="s">
        <v>15</v>
      </c>
      <c r="C50" s="253" t="s">
        <v>47</v>
      </c>
      <c r="D50" s="253" t="s">
        <v>47</v>
      </c>
      <c r="E50" s="253" t="s">
        <v>47</v>
      </c>
      <c r="F50" s="253" t="s">
        <v>47</v>
      </c>
      <c r="G50" s="256">
        <f>'Main calculations'!$C$244*'Sensitivity calculations'!G204*'Sensitivity calculations'!G59/100</f>
        <v>420.70527965748988</v>
      </c>
      <c r="H50" s="256">
        <f>'Main calculations'!$C$244*'Sensitivity calculations'!H204*'Sensitivity calculations'!H59/100</f>
        <v>831.61747530517471</v>
      </c>
      <c r="I50" s="256">
        <f>'Main calculations'!$C$244*'Sensitivity calculations'!I204*'Sensitivity calculations'!I59/100</f>
        <v>1279.8348351571551</v>
      </c>
      <c r="J50" s="256">
        <f>'Main calculations'!$C$244*'Sensitivity calculations'!J204*'Sensitivity calculations'!J59/100</f>
        <v>1767.9382445893912</v>
      </c>
      <c r="K50" s="256">
        <f>'Main calculations'!$C$244*'Sensitivity calculations'!K204*'Sensitivity calculations'!K59/100</f>
        <v>2242.6028763185427</v>
      </c>
      <c r="L50" s="256">
        <f>'Main calculations'!$C$244*'Sensitivity calculations'!L204*'Sensitivity calculations'!L59/100</f>
        <v>2757.5885943291419</v>
      </c>
      <c r="M50" s="256">
        <f>'Main calculations'!$C$244*'Sensitivity calculations'!M204*'Sensitivity calculations'!M59/100</f>
        <v>3315.6189160454069</v>
      </c>
      <c r="N50" s="256">
        <f>'Main calculations'!$C$244*'Sensitivity calculations'!N204*'Sensitivity calculations'!N59/100</f>
        <v>3919.5834617431974</v>
      </c>
      <c r="O50" s="256">
        <f>'Main calculations'!$C$244*'Sensitivity calculations'!O204*'Sensitivity calculations'!O59/100</f>
        <v>4572.5475131896601</v>
      </c>
      <c r="P50" s="256">
        <f>'Main calculations'!$C$244*'Sensitivity calculations'!P204*'Sensitivity calculations'!P59/100</f>
        <v>5277.7621020804936</v>
      </c>
      <c r="Q50" s="256">
        <f>'Main calculations'!$C$244*'Sensitivity calculations'!Q204*'Sensitivity calculations'!Q59/100</f>
        <v>5523.1780398272358</v>
      </c>
      <c r="R50" s="256">
        <f>'Main calculations'!$C$244*'Sensitivity calculations'!R204*'Sensitivity calculations'!R59/100</f>
        <v>5780.0058186792021</v>
      </c>
      <c r="S50" s="256">
        <f>'Main calculations'!$C$244*'Sensitivity calculations'!S204*'Sensitivity calculations'!S59/100</f>
        <v>6048.7760892477863</v>
      </c>
      <c r="T50" s="256">
        <f>'Main calculations'!$C$244*'Sensitivity calculations'!T204*'Sensitivity calculations'!T59/100</f>
        <v>6330.04417739781</v>
      </c>
      <c r="U50" s="256">
        <f>'Main calculations'!$C$244*'Sensitivity calculations'!U204*'Sensitivity calculations'!U59/100</f>
        <v>6624.3912316468068</v>
      </c>
      <c r="V50" s="256">
        <f>'Main calculations'!$C$244*'Sensitivity calculations'!V204*'Sensitivity calculations'!V59/100</f>
        <v>6932.4254239183838</v>
      </c>
      <c r="W50" s="256">
        <f>'Main calculations'!$C$244*'Sensitivity calculations'!W204*'Sensitivity calculations'!W59/100</f>
        <v>7254.7832061305862</v>
      </c>
      <c r="X50" s="256">
        <f>'Main calculations'!$C$244*'Sensitivity calculations'!X204*'Sensitivity calculations'!X59/100</f>
        <v>7592.1306252156592</v>
      </c>
      <c r="Y50" s="256">
        <f>'Main calculations'!$C$244*'Sensitivity calculations'!Y204*'Sensitivity calculations'!Y59/100</f>
        <v>7945.1646992881888</v>
      </c>
      <c r="Z50" s="256">
        <f>'Main calculations'!$C$244*'Sensitivity calculations'!Z204*'Sensitivity calculations'!Z59/100</f>
        <v>8314.6148578050888</v>
      </c>
      <c r="AA50" s="256">
        <f>'Main calculations'!$C$244*'Sensitivity calculations'!AA204*'Sensitivity calculations'!AA59/100</f>
        <v>8179.1697817714439</v>
      </c>
      <c r="AC50"/>
      <c r="AD50"/>
      <c r="AE50"/>
      <c r="AF50"/>
      <c r="AG50"/>
      <c r="AH50"/>
      <c r="AI50"/>
      <c r="AJ50"/>
      <c r="AK50"/>
    </row>
    <row r="51" spans="1:37" s="27" customFormat="1">
      <c r="A51" s="366"/>
      <c r="B51" s="264"/>
      <c r="C51" s="253"/>
      <c r="D51" s="253"/>
      <c r="E51" s="253"/>
      <c r="F51" s="253"/>
      <c r="G51" s="256"/>
      <c r="H51" s="256"/>
      <c r="I51" s="256"/>
      <c r="J51" s="256"/>
      <c r="K51" s="256"/>
      <c r="L51" s="261"/>
      <c r="M51" s="256"/>
      <c r="N51" s="256"/>
      <c r="O51" s="256"/>
      <c r="P51" s="256"/>
      <c r="Q51" s="256"/>
      <c r="R51" s="256"/>
      <c r="S51" s="256"/>
      <c r="T51" s="256"/>
      <c r="U51" s="256"/>
      <c r="V51" s="256"/>
      <c r="W51" s="256"/>
      <c r="X51" s="256"/>
      <c r="Y51" s="256"/>
      <c r="Z51" s="256"/>
      <c r="AA51" s="256"/>
      <c r="AC51"/>
      <c r="AD51"/>
      <c r="AE51"/>
      <c r="AF51"/>
      <c r="AG51"/>
      <c r="AH51"/>
      <c r="AI51"/>
      <c r="AJ51"/>
      <c r="AK51"/>
    </row>
    <row r="52" spans="1:37" s="27" customFormat="1">
      <c r="A52" s="25" t="s">
        <v>519</v>
      </c>
      <c r="B52" s="265" t="s">
        <v>15</v>
      </c>
      <c r="C52" s="258" t="s">
        <v>47</v>
      </c>
      <c r="D52" s="258" t="s">
        <v>47</v>
      </c>
      <c r="E52" s="282">
        <f>SUM('Main calculations'!E210:E211)</f>
        <v>582.76380971033916</v>
      </c>
      <c r="F52" s="282">
        <f>SUM('Main calculations'!F210:F211)</f>
        <v>596.15112789918567</v>
      </c>
      <c r="G52" s="282">
        <f>SUM('Main calculations'!G210:G211)</f>
        <v>611.01566740542216</v>
      </c>
      <c r="H52" s="282">
        <f>SUM('Main calculations'!H210:H211)</f>
        <v>639.42789593977432</v>
      </c>
      <c r="I52" s="282">
        <f>SUM('Main calculations'!I210:I211)</f>
        <v>669.16129310097381</v>
      </c>
      <c r="J52" s="282">
        <f>SUM('Main calculations'!J210:J211)</f>
        <v>700.27729323016911</v>
      </c>
      <c r="K52" s="282">
        <f>SUM('Main calculations'!K210:K211)</f>
        <v>732.840187365372</v>
      </c>
      <c r="L52" s="282">
        <f>SUM('Main calculations'!L210:L211)</f>
        <v>766.91725607786179</v>
      </c>
      <c r="M52" s="282">
        <f>SUM('Main calculations'!M210:M211)</f>
        <v>802.57890848548243</v>
      </c>
      <c r="N52" s="282">
        <f>SUM('Main calculations'!N210:N211)</f>
        <v>839.89882773005752</v>
      </c>
      <c r="O52" s="282">
        <f>SUM('Main calculations'!O210:O211)</f>
        <v>878.95412321950516</v>
      </c>
      <c r="P52" s="282">
        <f>SUM('Main calculations'!P210:P211)</f>
        <v>919.82548994921194</v>
      </c>
      <c r="Q52" s="282">
        <f>SUM('Main calculations'!Q210:Q211)</f>
        <v>962.59737523185026</v>
      </c>
      <c r="R52" s="282">
        <f>SUM('Main calculations'!R210:R211)</f>
        <v>1007.3581531801312</v>
      </c>
      <c r="S52" s="282">
        <f>SUM('Main calculations'!S210:S211)</f>
        <v>1054.2003073030073</v>
      </c>
      <c r="T52" s="282">
        <f>SUM('Main calculations'!T210:T211)</f>
        <v>1103.2206215925971</v>
      </c>
      <c r="U52" s="282">
        <f>SUM('Main calculations'!U210:U211)</f>
        <v>1154.5203804966529</v>
      </c>
      <c r="V52" s="282">
        <f>SUM('Main calculations'!V210:V211)</f>
        <v>1208.2055781897473</v>
      </c>
      <c r="W52" s="282">
        <f>SUM('Main calculations'!W210:W211)</f>
        <v>1264.3871375755705</v>
      </c>
      <c r="X52" s="282">
        <f>SUM('Main calculations'!X210:X211)</f>
        <v>1323.1811394728345</v>
      </c>
      <c r="Y52" s="282">
        <f>SUM('Main calculations'!Y210:Y211)</f>
        <v>1384.7090624583211</v>
      </c>
      <c r="Z52" s="282">
        <f>SUM('Main calculations'!Z210:Z211)</f>
        <v>1449.0980338626332</v>
      </c>
      <c r="AA52" s="282">
        <f>SUM('Main calculations'!AA210:AA211)</f>
        <v>1516.4810924372457</v>
      </c>
      <c r="AC52"/>
      <c r="AD52"/>
      <c r="AE52"/>
      <c r="AF52"/>
      <c r="AG52"/>
      <c r="AH52"/>
      <c r="AI52"/>
      <c r="AJ52"/>
      <c r="AK52"/>
    </row>
    <row r="53" spans="1:37" s="27" customFormat="1">
      <c r="A53" s="366"/>
      <c r="B53" s="264"/>
      <c r="C53" s="253"/>
      <c r="D53" s="253"/>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C53"/>
      <c r="AD53"/>
      <c r="AE53"/>
      <c r="AF53"/>
      <c r="AG53"/>
      <c r="AH53"/>
      <c r="AI53"/>
      <c r="AJ53"/>
      <c r="AK53"/>
    </row>
    <row r="54" spans="1:37" s="27" customFormat="1" ht="15" thickBot="1">
      <c r="A54" s="279" t="s">
        <v>576</v>
      </c>
      <c r="B54" s="279" t="s">
        <v>15</v>
      </c>
      <c r="C54" s="283" t="s">
        <v>47</v>
      </c>
      <c r="D54" s="283" t="s">
        <v>47</v>
      </c>
      <c r="E54" s="284">
        <f t="shared" ref="E54:AA54" si="21">SUM(E52,E49,E47,E34,E22)</f>
        <v>582.76380971033916</v>
      </c>
      <c r="F54" s="284">
        <f t="shared" si="21"/>
        <v>596.15112789918567</v>
      </c>
      <c r="G54" s="284">
        <f t="shared" si="21"/>
        <v>3162.9218443316349</v>
      </c>
      <c r="H54" s="284">
        <f t="shared" si="21"/>
        <v>5616.3107177308575</v>
      </c>
      <c r="I54" s="284">
        <f t="shared" si="21"/>
        <v>8308.1475420431307</v>
      </c>
      <c r="J54" s="284">
        <f t="shared" si="21"/>
        <v>11238.197500565126</v>
      </c>
      <c r="K54" s="284">
        <f t="shared" si="21"/>
        <v>14122.600514044001</v>
      </c>
      <c r="L54" s="284">
        <f t="shared" si="21"/>
        <v>17158.988573094113</v>
      </c>
      <c r="M54" s="284">
        <f t="shared" si="21"/>
        <v>20463.054237101296</v>
      </c>
      <c r="N54" s="284">
        <f t="shared" si="21"/>
        <v>24063.445725555805</v>
      </c>
      <c r="O54" s="284">
        <f t="shared" si="21"/>
        <v>27993.613230202835</v>
      </c>
      <c r="P54" s="284">
        <f t="shared" si="21"/>
        <v>32292.893664517043</v>
      </c>
      <c r="Q54" s="284">
        <f t="shared" si="21"/>
        <v>33695.869471850056</v>
      </c>
      <c r="R54" s="284">
        <f t="shared" si="21"/>
        <v>35164.617202534071</v>
      </c>
      <c r="S54" s="284">
        <f t="shared" si="21"/>
        <v>36702.881595992934</v>
      </c>
      <c r="T54" s="284">
        <f t="shared" si="21"/>
        <v>38314.69051999972</v>
      </c>
      <c r="U54" s="284">
        <f t="shared" si="21"/>
        <v>40004.390915138029</v>
      </c>
      <c r="V54" s="284">
        <f t="shared" si="21"/>
        <v>41584.164448417672</v>
      </c>
      <c r="W54" s="284">
        <f t="shared" si="21"/>
        <v>43226.061987858819</v>
      </c>
      <c r="X54" s="284">
        <f t="shared" si="21"/>
        <v>44932.835830364595</v>
      </c>
      <c r="Y54" s="284">
        <f t="shared" si="21"/>
        <v>46707.343932101496</v>
      </c>
      <c r="Z54" s="284">
        <f t="shared" si="21"/>
        <v>48552.598967810729</v>
      </c>
      <c r="AA54" s="284">
        <f t="shared" si="21"/>
        <v>47010.456489578908</v>
      </c>
      <c r="AB54" s="19"/>
      <c r="AC54"/>
      <c r="AD54"/>
      <c r="AE54"/>
      <c r="AF54"/>
      <c r="AG54"/>
      <c r="AH54"/>
      <c r="AI54"/>
      <c r="AJ54"/>
      <c r="AK54"/>
    </row>
    <row r="55" spans="1:37" s="27" customFormat="1">
      <c r="A55" s="26" t="s">
        <v>643</v>
      </c>
      <c r="B55" s="26"/>
      <c r="C55" s="26"/>
      <c r="D55" s="26"/>
      <c r="E55" s="26"/>
      <c r="F55" s="26"/>
      <c r="AB55" s="68"/>
      <c r="AC55"/>
      <c r="AD55"/>
      <c r="AE55"/>
      <c r="AF55"/>
      <c r="AG55"/>
      <c r="AH55"/>
      <c r="AI55"/>
      <c r="AJ55"/>
      <c r="AK55"/>
    </row>
    <row r="56" spans="1:37" s="27" customFormat="1">
      <c r="A56" s="26"/>
      <c r="B56" s="26"/>
      <c r="C56" s="26"/>
      <c r="D56" s="26"/>
      <c r="E56" s="26"/>
      <c r="F56" s="26"/>
      <c r="AB56" s="68"/>
      <c r="AC56" s="161"/>
      <c r="AD56" s="161"/>
      <c r="AE56" s="161"/>
      <c r="AF56" s="161"/>
      <c r="AG56" s="161"/>
      <c r="AH56" s="161"/>
      <c r="AI56" s="161"/>
      <c r="AJ56" s="161"/>
      <c r="AK56" s="161"/>
    </row>
    <row r="57" spans="1:37" s="27" customFormat="1" ht="12" thickBot="1">
      <c r="A57" s="27" t="s">
        <v>650</v>
      </c>
      <c r="B57" s="230">
        <v>3</v>
      </c>
      <c r="C57" s="27" t="s">
        <v>791</v>
      </c>
      <c r="J57" s="54"/>
      <c r="K57" s="54"/>
      <c r="L57" s="54"/>
      <c r="M57" s="54"/>
      <c r="N57" s="54"/>
      <c r="O57" s="54"/>
      <c r="P57" s="54"/>
      <c r="Q57" s="54"/>
      <c r="R57" s="54"/>
      <c r="S57" s="54"/>
      <c r="T57" s="54"/>
      <c r="U57" s="54"/>
      <c r="V57" s="54"/>
      <c r="W57" s="54"/>
      <c r="X57" s="54"/>
      <c r="Y57" s="54"/>
      <c r="Z57" s="54"/>
      <c r="AA57" s="54"/>
    </row>
    <row r="58" spans="1:37" s="27" customFormat="1" ht="12" thickBot="1">
      <c r="A58" s="14"/>
      <c r="B58" s="14" t="s">
        <v>91</v>
      </c>
      <c r="C58" s="15">
        <v>2016</v>
      </c>
      <c r="D58" s="15">
        <v>2017</v>
      </c>
      <c r="E58" s="15">
        <v>2018</v>
      </c>
      <c r="F58" s="15">
        <v>2019</v>
      </c>
      <c r="G58" s="15">
        <v>2020</v>
      </c>
      <c r="H58" s="15">
        <v>2021</v>
      </c>
      <c r="I58" s="15">
        <v>2022</v>
      </c>
      <c r="J58" s="15">
        <v>2023</v>
      </c>
      <c r="K58" s="15">
        <v>2024</v>
      </c>
      <c r="L58" s="15">
        <v>2025</v>
      </c>
      <c r="M58" s="15">
        <v>2026</v>
      </c>
      <c r="N58" s="15">
        <v>2027</v>
      </c>
      <c r="O58" s="15">
        <v>2028</v>
      </c>
      <c r="P58" s="15">
        <v>2029</v>
      </c>
      <c r="Q58" s="15">
        <v>2030</v>
      </c>
      <c r="R58" s="15">
        <v>2031</v>
      </c>
      <c r="S58" s="15">
        <v>2032</v>
      </c>
      <c r="T58" s="15">
        <v>2033</v>
      </c>
      <c r="U58" s="15">
        <v>2034</v>
      </c>
      <c r="V58" s="15">
        <v>2035</v>
      </c>
      <c r="W58" s="15">
        <v>2036</v>
      </c>
      <c r="X58" s="15">
        <v>2037</v>
      </c>
      <c r="Y58" s="15">
        <v>2038</v>
      </c>
      <c r="Z58" s="15">
        <v>2039</v>
      </c>
      <c r="AA58" s="15">
        <v>2040</v>
      </c>
      <c r="AB58" s="292"/>
      <c r="AC58" s="292" t="s">
        <v>828</v>
      </c>
    </row>
    <row r="59" spans="1:37" s="27" customFormat="1" ht="23.15">
      <c r="A59" s="366" t="s">
        <v>555</v>
      </c>
      <c r="B59" s="263" t="s">
        <v>7</v>
      </c>
      <c r="C59" s="267" t="s">
        <v>47</v>
      </c>
      <c r="D59" s="267" t="s">
        <v>47</v>
      </c>
      <c r="E59" s="267" t="s">
        <v>47</v>
      </c>
      <c r="F59" s="267" t="s">
        <v>47</v>
      </c>
      <c r="G59" s="260">
        <f t="shared" ref="G59:AA59" si="22">G60*G61/100</f>
        <v>4.5</v>
      </c>
      <c r="H59" s="260">
        <f t="shared" si="22"/>
        <v>8.5</v>
      </c>
      <c r="I59" s="260">
        <f t="shared" si="22"/>
        <v>12.5</v>
      </c>
      <c r="J59" s="260">
        <f t="shared" si="22"/>
        <v>16.5</v>
      </c>
      <c r="K59" s="260">
        <f t="shared" si="22"/>
        <v>20</v>
      </c>
      <c r="L59" s="260">
        <f t="shared" si="22"/>
        <v>23.5</v>
      </c>
      <c r="M59" s="260">
        <f t="shared" si="22"/>
        <v>27</v>
      </c>
      <c r="N59" s="260">
        <f t="shared" si="22"/>
        <v>30.5</v>
      </c>
      <c r="O59" s="260">
        <f t="shared" si="22"/>
        <v>33.999999999999993</v>
      </c>
      <c r="P59" s="260">
        <f t="shared" si="22"/>
        <v>37.5</v>
      </c>
      <c r="Q59" s="260">
        <f t="shared" si="22"/>
        <v>37.5</v>
      </c>
      <c r="R59" s="260">
        <f t="shared" si="22"/>
        <v>37.5</v>
      </c>
      <c r="S59" s="260">
        <f t="shared" si="22"/>
        <v>37.5</v>
      </c>
      <c r="T59" s="260">
        <f t="shared" si="22"/>
        <v>37.5</v>
      </c>
      <c r="U59" s="260">
        <f t="shared" si="22"/>
        <v>37.5</v>
      </c>
      <c r="V59" s="260">
        <f t="shared" si="22"/>
        <v>37.5</v>
      </c>
      <c r="W59" s="260">
        <f t="shared" si="22"/>
        <v>37.5</v>
      </c>
      <c r="X59" s="260">
        <f t="shared" si="22"/>
        <v>37.5</v>
      </c>
      <c r="Y59" s="260">
        <f t="shared" si="22"/>
        <v>37.5</v>
      </c>
      <c r="Z59" s="260">
        <f t="shared" si="22"/>
        <v>37.5</v>
      </c>
      <c r="AA59" s="260">
        <f t="shared" si="22"/>
        <v>35.25</v>
      </c>
    </row>
    <row r="60" spans="1:37" s="27" customFormat="1" ht="23.15">
      <c r="A60" s="296" t="s">
        <v>720</v>
      </c>
      <c r="B60" s="297" t="s">
        <v>7</v>
      </c>
      <c r="C60" s="298" t="s">
        <v>47</v>
      </c>
      <c r="D60" s="298" t="s">
        <v>47</v>
      </c>
      <c r="E60" s="298" t="s">
        <v>47</v>
      </c>
      <c r="F60" s="298" t="s">
        <v>47</v>
      </c>
      <c r="G60" s="299">
        <v>10</v>
      </c>
      <c r="H60" s="299">
        <v>20</v>
      </c>
      <c r="I60" s="299">
        <v>30</v>
      </c>
      <c r="J60" s="299">
        <v>40</v>
      </c>
      <c r="K60" s="299">
        <v>50</v>
      </c>
      <c r="L60" s="299">
        <v>60</v>
      </c>
      <c r="M60" s="299">
        <v>70</v>
      </c>
      <c r="N60" s="299">
        <v>80</v>
      </c>
      <c r="O60" s="299">
        <v>90</v>
      </c>
      <c r="P60" s="299">
        <v>100</v>
      </c>
      <c r="Q60" s="299">
        <v>100</v>
      </c>
      <c r="R60" s="299">
        <v>100</v>
      </c>
      <c r="S60" s="299">
        <v>100</v>
      </c>
      <c r="T60" s="299">
        <v>100</v>
      </c>
      <c r="U60" s="299">
        <v>100</v>
      </c>
      <c r="V60" s="299">
        <v>100</v>
      </c>
      <c r="W60" s="299">
        <v>100</v>
      </c>
      <c r="X60" s="299">
        <v>100</v>
      </c>
      <c r="Y60" s="299">
        <v>100</v>
      </c>
      <c r="Z60" s="299">
        <v>100</v>
      </c>
      <c r="AA60" s="299">
        <v>100</v>
      </c>
      <c r="AC60" s="313" t="s">
        <v>724</v>
      </c>
    </row>
    <row r="61" spans="1:37" s="27" customFormat="1" ht="11.6">
      <c r="A61" s="241" t="s">
        <v>844</v>
      </c>
      <c r="B61" s="268" t="s">
        <v>7</v>
      </c>
      <c r="C61" s="269" t="s">
        <v>47</v>
      </c>
      <c r="D61" s="269" t="s">
        <v>47</v>
      </c>
      <c r="E61" s="269" t="s">
        <v>47</v>
      </c>
      <c r="F61" s="269" t="s">
        <v>47</v>
      </c>
      <c r="G61" s="270">
        <f>G62</f>
        <v>45</v>
      </c>
      <c r="H61" s="271">
        <f>($G60/H60)*H62+((H60-$G$60)/H60)*H63</f>
        <v>42.5</v>
      </c>
      <c r="I61" s="271">
        <f>($G60/I60)*I62+((I60-$G$60)/I60)*I63</f>
        <v>41.666666666666664</v>
      </c>
      <c r="J61" s="271">
        <f>($G60/J60)*J62+((J60-$G$60)/J60)*J63</f>
        <v>41.25</v>
      </c>
      <c r="K61" s="271">
        <f t="shared" ref="K61:V61" si="23">($J$61*$J$60/K60)+(K64*(K60-$J$60)/K60)</f>
        <v>40</v>
      </c>
      <c r="L61" s="271">
        <f t="shared" si="23"/>
        <v>39.166666666666664</v>
      </c>
      <c r="M61" s="271">
        <f t="shared" si="23"/>
        <v>38.571428571428569</v>
      </c>
      <c r="N61" s="271">
        <f t="shared" si="23"/>
        <v>38.125</v>
      </c>
      <c r="O61" s="271">
        <f t="shared" si="23"/>
        <v>37.777777777777771</v>
      </c>
      <c r="P61" s="271">
        <f t="shared" si="23"/>
        <v>37.5</v>
      </c>
      <c r="Q61" s="271">
        <f t="shared" si="23"/>
        <v>37.5</v>
      </c>
      <c r="R61" s="271">
        <f t="shared" si="23"/>
        <v>37.5</v>
      </c>
      <c r="S61" s="271">
        <f t="shared" si="23"/>
        <v>37.5</v>
      </c>
      <c r="T61" s="271">
        <f t="shared" si="23"/>
        <v>37.5</v>
      </c>
      <c r="U61" s="271">
        <f t="shared" si="23"/>
        <v>37.5</v>
      </c>
      <c r="V61" s="271">
        <f t="shared" si="23"/>
        <v>37.5</v>
      </c>
      <c r="W61" s="271">
        <f>($V$61*$V$60/W60)+(W65*(W60-$V$60)/W60)</f>
        <v>37.5</v>
      </c>
      <c r="X61" s="271">
        <f>($V$61*$V$60/X60)+(X65*(X60-$V$60)/X60)</f>
        <v>37.5</v>
      </c>
      <c r="Y61" s="271">
        <f>($V$61*$V$60/Y60)+(Y65*(Y60-$V$60)/Y60)</f>
        <v>37.5</v>
      </c>
      <c r="Z61" s="271">
        <f>($V$61*$V$60/Z60)+(Z65*(Z60-$V$60)/Z60)</f>
        <v>37.5</v>
      </c>
      <c r="AA61" s="271">
        <f>0.05*AA62+0.15*AA63+0.6*AA64+0.2*AA65</f>
        <v>35.25</v>
      </c>
    </row>
    <row r="62" spans="1:37" s="27" customFormat="1" ht="11.6">
      <c r="A62" s="33" t="s">
        <v>845</v>
      </c>
      <c r="B62" s="268" t="s">
        <v>7</v>
      </c>
      <c r="C62" s="272"/>
      <c r="D62" s="272"/>
      <c r="E62" s="272"/>
      <c r="F62" s="272"/>
      <c r="G62" s="272">
        <v>45</v>
      </c>
      <c r="H62" s="272">
        <v>45</v>
      </c>
      <c r="I62" s="272">
        <v>45</v>
      </c>
      <c r="J62" s="272">
        <v>45</v>
      </c>
      <c r="K62" s="272">
        <v>45</v>
      </c>
      <c r="L62" s="272">
        <v>45</v>
      </c>
      <c r="M62" s="272">
        <v>45</v>
      </c>
      <c r="N62" s="272">
        <v>45</v>
      </c>
      <c r="O62" s="272">
        <v>45</v>
      </c>
      <c r="P62" s="272">
        <v>45</v>
      </c>
      <c r="Q62" s="272">
        <v>45</v>
      </c>
      <c r="R62" s="272">
        <v>45</v>
      </c>
      <c r="S62" s="272">
        <v>45</v>
      </c>
      <c r="T62" s="272">
        <v>45</v>
      </c>
      <c r="U62" s="272">
        <v>45</v>
      </c>
      <c r="V62" s="272">
        <v>45</v>
      </c>
      <c r="W62" s="272">
        <v>45</v>
      </c>
      <c r="X62" s="272">
        <v>45</v>
      </c>
      <c r="Y62" s="272">
        <v>45</v>
      </c>
      <c r="Z62" s="272">
        <v>45</v>
      </c>
      <c r="AA62" s="272">
        <v>45</v>
      </c>
      <c r="AC62" s="221"/>
    </row>
    <row r="63" spans="1:37" s="27" customFormat="1" ht="11.6">
      <c r="A63" s="33" t="s">
        <v>846</v>
      </c>
      <c r="B63" s="268" t="s">
        <v>7</v>
      </c>
      <c r="C63" s="272"/>
      <c r="D63" s="272"/>
      <c r="E63" s="272"/>
      <c r="F63" s="272"/>
      <c r="G63" s="272"/>
      <c r="H63" s="272">
        <v>40</v>
      </c>
      <c r="I63" s="272">
        <v>40</v>
      </c>
      <c r="J63" s="272">
        <v>40</v>
      </c>
      <c r="K63" s="272">
        <v>40</v>
      </c>
      <c r="L63" s="272">
        <v>40</v>
      </c>
      <c r="M63" s="272">
        <v>40</v>
      </c>
      <c r="N63" s="272">
        <v>40</v>
      </c>
      <c r="O63" s="272">
        <v>40</v>
      </c>
      <c r="P63" s="272">
        <v>40</v>
      </c>
      <c r="Q63" s="272">
        <v>40</v>
      </c>
      <c r="R63" s="272">
        <v>40</v>
      </c>
      <c r="S63" s="272">
        <v>40</v>
      </c>
      <c r="T63" s="272">
        <v>40</v>
      </c>
      <c r="U63" s="272">
        <v>40</v>
      </c>
      <c r="V63" s="272">
        <v>40</v>
      </c>
      <c r="W63" s="272">
        <v>40</v>
      </c>
      <c r="X63" s="272">
        <v>40</v>
      </c>
      <c r="Y63" s="272">
        <v>40</v>
      </c>
      <c r="Z63" s="272">
        <v>40</v>
      </c>
      <c r="AA63" s="272">
        <v>40</v>
      </c>
    </row>
    <row r="64" spans="1:37" s="27" customFormat="1" ht="11.6">
      <c r="A64" s="309" t="s">
        <v>721</v>
      </c>
      <c r="B64" s="310" t="s">
        <v>7</v>
      </c>
      <c r="C64" s="311"/>
      <c r="D64" s="311"/>
      <c r="E64" s="311"/>
      <c r="F64" s="311"/>
      <c r="G64" s="311"/>
      <c r="H64" s="311"/>
      <c r="I64" s="312">
        <v>35</v>
      </c>
      <c r="J64" s="312">
        <v>35</v>
      </c>
      <c r="K64" s="312">
        <v>35</v>
      </c>
      <c r="L64" s="312">
        <v>35</v>
      </c>
      <c r="M64" s="312">
        <v>35</v>
      </c>
      <c r="N64" s="312">
        <v>35</v>
      </c>
      <c r="O64" s="312">
        <v>35</v>
      </c>
      <c r="P64" s="312">
        <v>35</v>
      </c>
      <c r="Q64" s="312">
        <v>35</v>
      </c>
      <c r="R64" s="312">
        <v>35</v>
      </c>
      <c r="S64" s="312">
        <v>35</v>
      </c>
      <c r="T64" s="312">
        <v>35</v>
      </c>
      <c r="U64" s="312">
        <v>35</v>
      </c>
      <c r="V64" s="312">
        <v>35</v>
      </c>
      <c r="W64" s="312">
        <v>35</v>
      </c>
      <c r="X64" s="312">
        <v>35</v>
      </c>
      <c r="Y64" s="312">
        <v>35</v>
      </c>
      <c r="Z64" s="312">
        <v>35</v>
      </c>
      <c r="AA64" s="312">
        <v>35</v>
      </c>
      <c r="AC64" s="309" t="s">
        <v>723</v>
      </c>
    </row>
    <row r="65" spans="1:32" s="27" customFormat="1" ht="12" thickBot="1">
      <c r="A65" s="300" t="s">
        <v>722</v>
      </c>
      <c r="B65" s="301" t="s">
        <v>7</v>
      </c>
      <c r="C65" s="302"/>
      <c r="D65" s="302"/>
      <c r="E65" s="302"/>
      <c r="F65" s="302"/>
      <c r="G65" s="303"/>
      <c r="H65" s="304"/>
      <c r="I65" s="304"/>
      <c r="J65" s="304"/>
      <c r="K65" s="304"/>
      <c r="L65" s="304"/>
      <c r="M65" s="304"/>
      <c r="N65" s="304"/>
      <c r="O65" s="304">
        <v>30</v>
      </c>
      <c r="P65" s="304">
        <v>30</v>
      </c>
      <c r="Q65" s="304">
        <v>30</v>
      </c>
      <c r="R65" s="304">
        <v>30</v>
      </c>
      <c r="S65" s="304">
        <v>30</v>
      </c>
      <c r="T65" s="304">
        <v>30</v>
      </c>
      <c r="U65" s="304">
        <v>30</v>
      </c>
      <c r="V65" s="304">
        <v>30</v>
      </c>
      <c r="W65" s="304">
        <v>30</v>
      </c>
      <c r="X65" s="304">
        <v>30</v>
      </c>
      <c r="Y65" s="304">
        <v>30</v>
      </c>
      <c r="Z65" s="304">
        <v>30</v>
      </c>
      <c r="AA65" s="304">
        <v>30</v>
      </c>
      <c r="AB65" s="225"/>
      <c r="AC65" s="225"/>
    </row>
    <row r="66" spans="1:32" s="27" customFormat="1" ht="11.6">
      <c r="A66" s="33"/>
      <c r="B66" s="240"/>
      <c r="C66" s="33"/>
      <c r="D66" s="33"/>
      <c r="E66" s="33"/>
      <c r="F66" s="33"/>
      <c r="G66" s="33"/>
      <c r="H66" s="33"/>
      <c r="I66" s="33"/>
      <c r="J66" s="33"/>
      <c r="K66" s="33"/>
      <c r="L66" s="33"/>
      <c r="M66" s="33"/>
      <c r="N66" s="33"/>
      <c r="O66" s="33"/>
      <c r="P66" s="33"/>
      <c r="Q66" s="33"/>
      <c r="R66" s="33"/>
      <c r="S66" s="33"/>
      <c r="T66" s="33"/>
      <c r="U66" s="33"/>
      <c r="V66" s="33"/>
      <c r="W66" s="33"/>
      <c r="X66" s="33"/>
      <c r="Y66" s="33"/>
      <c r="Z66" s="33"/>
      <c r="AA66" s="33"/>
    </row>
    <row r="67" spans="1:32" s="27" customFormat="1" ht="11.6"/>
    <row r="68" spans="1:32" s="27" customFormat="1" ht="11.6">
      <c r="A68" s="27" t="s">
        <v>650</v>
      </c>
      <c r="B68" s="27">
        <v>4</v>
      </c>
      <c r="C68" s="27" t="s">
        <v>792</v>
      </c>
    </row>
    <row r="69" spans="1:32" s="27" customFormat="1" ht="15" thickBot="1">
      <c r="C69" s="27" t="s">
        <v>578</v>
      </c>
      <c r="AC69"/>
      <c r="AD69"/>
      <c r="AE69"/>
      <c r="AF69"/>
    </row>
    <row r="70" spans="1:32" s="27" customFormat="1" ht="15" thickBot="1">
      <c r="A70" s="14"/>
      <c r="B70" s="14" t="s">
        <v>91</v>
      </c>
      <c r="C70" s="15">
        <v>2016</v>
      </c>
      <c r="D70" s="15">
        <v>2017</v>
      </c>
      <c r="E70" s="15">
        <v>2018</v>
      </c>
      <c r="F70" s="15">
        <v>2019</v>
      </c>
      <c r="G70" s="15">
        <v>2020</v>
      </c>
      <c r="H70" s="15">
        <v>2021</v>
      </c>
      <c r="I70" s="15">
        <v>2022</v>
      </c>
      <c r="J70" s="15">
        <v>2023</v>
      </c>
      <c r="K70" s="15">
        <v>2024</v>
      </c>
      <c r="L70" s="15">
        <v>2025</v>
      </c>
      <c r="M70" s="15">
        <v>2026</v>
      </c>
      <c r="N70" s="15">
        <v>2027</v>
      </c>
      <c r="O70" s="15">
        <v>2028</v>
      </c>
      <c r="P70" s="15">
        <v>2029</v>
      </c>
      <c r="Q70" s="15">
        <v>2030</v>
      </c>
      <c r="R70" s="15">
        <v>2031</v>
      </c>
      <c r="S70" s="15">
        <v>2032</v>
      </c>
      <c r="T70" s="15">
        <v>2033</v>
      </c>
      <c r="U70" s="15">
        <v>2034</v>
      </c>
      <c r="V70" s="15">
        <v>2035</v>
      </c>
      <c r="W70" s="15">
        <v>2036</v>
      </c>
      <c r="X70" s="15">
        <v>2037</v>
      </c>
      <c r="Y70" s="15">
        <v>2038</v>
      </c>
      <c r="Z70" s="15">
        <v>2039</v>
      </c>
      <c r="AA70" s="15">
        <v>2040</v>
      </c>
      <c r="AB70" s="292"/>
      <c r="AC70"/>
      <c r="AD70"/>
      <c r="AE70"/>
      <c r="AF70"/>
    </row>
    <row r="71" spans="1:32" s="27" customFormat="1" ht="35.6">
      <c r="A71" s="220" t="s">
        <v>945</v>
      </c>
      <c r="B71" s="366" t="s">
        <v>15</v>
      </c>
      <c r="C71" s="230" t="s">
        <v>47</v>
      </c>
      <c r="D71" s="230" t="s">
        <v>47</v>
      </c>
      <c r="E71" s="230" t="s">
        <v>47</v>
      </c>
      <c r="F71" s="230" t="s">
        <v>47</v>
      </c>
      <c r="G71" s="53">
        <f>SUM(G72:G74)</f>
        <v>35.408305835317101</v>
      </c>
      <c r="H71" s="53">
        <f t="shared" ref="H71:AA71" si="24">SUM(H72:H74)</f>
        <v>68.286884931510968</v>
      </c>
      <c r="I71" s="53">
        <f t="shared" si="24"/>
        <v>102.53074928687161</v>
      </c>
      <c r="J71" s="53">
        <f t="shared" si="24"/>
        <v>138.18274142890263</v>
      </c>
      <c r="K71" s="53">
        <f t="shared" si="24"/>
        <v>171.01161090776912</v>
      </c>
      <c r="L71" s="53">
        <f t="shared" si="24"/>
        <v>205.15835431577796</v>
      </c>
      <c r="M71" s="53">
        <f t="shared" si="24"/>
        <v>240.66384482651273</v>
      </c>
      <c r="N71" s="53">
        <f t="shared" si="24"/>
        <v>277.57009110444511</v>
      </c>
      <c r="O71" s="53">
        <f t="shared" si="24"/>
        <v>315.9202669704822</v>
      </c>
      <c r="P71" s="53">
        <f t="shared" si="24"/>
        <v>355.75874181271575</v>
      </c>
      <c r="Q71" s="53">
        <f t="shared" si="24"/>
        <v>363.22967539078286</v>
      </c>
      <c r="R71" s="53">
        <f t="shared" si="24"/>
        <v>370.85749857398912</v>
      </c>
      <c r="S71" s="53">
        <f t="shared" si="24"/>
        <v>378.6455060440428</v>
      </c>
      <c r="T71" s="53">
        <f t="shared" si="24"/>
        <v>386.59706167096766</v>
      </c>
      <c r="U71" s="53">
        <f t="shared" si="24"/>
        <v>394.71559996605799</v>
      </c>
      <c r="V71" s="53">
        <f t="shared" si="24"/>
        <v>403.00462756534529</v>
      </c>
      <c r="W71" s="53">
        <f t="shared" si="24"/>
        <v>411.46772474421743</v>
      </c>
      <c r="X71" s="53">
        <f t="shared" si="24"/>
        <v>420.10854696384592</v>
      </c>
      <c r="Y71" s="53">
        <f t="shared" si="24"/>
        <v>428.93082645008667</v>
      </c>
      <c r="Z71" s="53">
        <f t="shared" si="24"/>
        <v>437.93837380553845</v>
      </c>
      <c r="AA71" s="53">
        <f t="shared" si="24"/>
        <v>420.30697487612741</v>
      </c>
      <c r="AC71"/>
      <c r="AD71"/>
      <c r="AE71"/>
      <c r="AF71"/>
    </row>
    <row r="72" spans="1:32" s="27" customFormat="1">
      <c r="A72" s="27" t="s">
        <v>849</v>
      </c>
      <c r="B72" s="388" t="s">
        <v>15</v>
      </c>
      <c r="C72" s="230" t="s">
        <v>47</v>
      </c>
      <c r="D72" s="230" t="s">
        <v>47</v>
      </c>
      <c r="E72" s="230" t="s">
        <v>47</v>
      </c>
      <c r="F72" s="230" t="s">
        <v>47</v>
      </c>
      <c r="G72" s="38">
        <f>G76/2.5</f>
        <v>9.4752647151450198</v>
      </c>
      <c r="H72" s="38">
        <f t="shared" ref="H72:W72" si="25">H76/2.5</f>
        <v>18.273574406752452</v>
      </c>
      <c r="I72" s="38">
        <f t="shared" si="25"/>
        <v>27.43723451366801</v>
      </c>
      <c r="J72" s="38">
        <f t="shared" si="25"/>
        <v>36.977709698760663</v>
      </c>
      <c r="K72" s="38">
        <f t="shared" si="25"/>
        <v>45.76271709386014</v>
      </c>
      <c r="L72" s="38">
        <f t="shared" si="25"/>
        <v>54.900387629576677</v>
      </c>
      <c r="M72" s="38">
        <f t="shared" si="25"/>
        <v>64.401658969554873</v>
      </c>
      <c r="N72" s="38">
        <f t="shared" si="25"/>
        <v>74.277772634867546</v>
      </c>
      <c r="O72" s="38">
        <f t="shared" si="25"/>
        <v>84.540281942517737</v>
      </c>
      <c r="P72" s="38">
        <f t="shared" si="25"/>
        <v>95.201060143357296</v>
      </c>
      <c r="Q72" s="38">
        <f t="shared" si="25"/>
        <v>97.200282406367805</v>
      </c>
      <c r="R72" s="38">
        <f t="shared" si="25"/>
        <v>99.241488336901497</v>
      </c>
      <c r="S72" s="38">
        <f t="shared" si="25"/>
        <v>101.3255595919764</v>
      </c>
      <c r="T72" s="38">
        <f t="shared" si="25"/>
        <v>103.45339634340789</v>
      </c>
      <c r="U72" s="38">
        <f t="shared" si="25"/>
        <v>105.62591766661947</v>
      </c>
      <c r="V72" s="38">
        <f t="shared" si="25"/>
        <v>107.84406193761848</v>
      </c>
      <c r="W72" s="38">
        <f t="shared" si="25"/>
        <v>110.10878723830842</v>
      </c>
      <c r="X72" s="38">
        <f t="shared" ref="W72:AA74" si="26">X76/2.5</f>
        <v>112.42107177031292</v>
      </c>
      <c r="Y72" s="38">
        <f t="shared" si="26"/>
        <v>114.78191427748945</v>
      </c>
      <c r="Z72" s="38">
        <f t="shared" si="26"/>
        <v>117.19233447731673</v>
      </c>
      <c r="AA72" s="38">
        <f t="shared" si="26"/>
        <v>112.47417109125995</v>
      </c>
      <c r="AC72"/>
      <c r="AD72"/>
      <c r="AE72"/>
      <c r="AF72"/>
    </row>
    <row r="73" spans="1:32" s="27" customFormat="1">
      <c r="A73" s="27" t="s">
        <v>850</v>
      </c>
      <c r="B73" s="388" t="s">
        <v>15</v>
      </c>
      <c r="C73" s="230" t="s">
        <v>47</v>
      </c>
      <c r="D73" s="230" t="s">
        <v>47</v>
      </c>
      <c r="E73" s="230" t="s">
        <v>47</v>
      </c>
      <c r="F73" s="230" t="s">
        <v>47</v>
      </c>
      <c r="G73" s="38">
        <f t="shared" ref="G73:V74" si="27">G77/2.5</f>
        <v>14.876165602777679</v>
      </c>
      <c r="H73" s="38">
        <f t="shared" si="27"/>
        <v>28.689511818601346</v>
      </c>
      <c r="I73" s="38">
        <f t="shared" si="27"/>
        <v>43.076458186458787</v>
      </c>
      <c r="J73" s="38">
        <f t="shared" si="27"/>
        <v>58.055004227054248</v>
      </c>
      <c r="K73" s="38">
        <f t="shared" si="27"/>
        <v>71.847465837360446</v>
      </c>
      <c r="L73" s="38">
        <f t="shared" si="27"/>
        <v>86.193608578435388</v>
      </c>
      <c r="M73" s="38">
        <f t="shared" si="27"/>
        <v>101.11060458220118</v>
      </c>
      <c r="N73" s="38">
        <f t="shared" si="27"/>
        <v>116.61610303674203</v>
      </c>
      <c r="O73" s="38">
        <f t="shared" si="27"/>
        <v>132.72824264975287</v>
      </c>
      <c r="P73" s="38">
        <f t="shared" si="27"/>
        <v>149.46566442507097</v>
      </c>
      <c r="Q73" s="38">
        <f t="shared" si="27"/>
        <v>152.60444337799748</v>
      </c>
      <c r="R73" s="38">
        <f t="shared" si="27"/>
        <v>155.80913668893535</v>
      </c>
      <c r="S73" s="38">
        <f t="shared" si="27"/>
        <v>159.08112855940297</v>
      </c>
      <c r="T73" s="38">
        <f t="shared" si="27"/>
        <v>162.42183225915045</v>
      </c>
      <c r="U73" s="38">
        <f t="shared" si="27"/>
        <v>165.83269073659258</v>
      </c>
      <c r="V73" s="38">
        <f t="shared" si="27"/>
        <v>169.31517724206108</v>
      </c>
      <c r="W73" s="38">
        <f t="shared" si="26"/>
        <v>172.87079596414429</v>
      </c>
      <c r="X73" s="38">
        <f t="shared" si="26"/>
        <v>176.50108267939126</v>
      </c>
      <c r="Y73" s="38">
        <f t="shared" si="26"/>
        <v>180.20760541565852</v>
      </c>
      <c r="Z73" s="38">
        <f t="shared" si="26"/>
        <v>183.9919651293873</v>
      </c>
      <c r="AA73" s="38">
        <f t="shared" si="26"/>
        <v>176.58444861327814</v>
      </c>
      <c r="AC73"/>
      <c r="AD73"/>
      <c r="AE73"/>
      <c r="AF73"/>
    </row>
    <row r="74" spans="1:32" s="27" customFormat="1">
      <c r="A74" s="27" t="s">
        <v>851</v>
      </c>
      <c r="B74" s="388" t="s">
        <v>15</v>
      </c>
      <c r="C74" s="230" t="s">
        <v>47</v>
      </c>
      <c r="D74" s="230" t="s">
        <v>47</v>
      </c>
      <c r="E74" s="230" t="s">
        <v>47</v>
      </c>
      <c r="F74" s="230" t="s">
        <v>47</v>
      </c>
      <c r="G74" s="38">
        <f t="shared" si="27"/>
        <v>11.056875517394401</v>
      </c>
      <c r="H74" s="38">
        <f t="shared" si="27"/>
        <v>21.323798706157177</v>
      </c>
      <c r="I74" s="38">
        <f t="shared" si="27"/>
        <v>32.017056586744815</v>
      </c>
      <c r="J74" s="38">
        <f t="shared" si="27"/>
        <v>43.150027503087728</v>
      </c>
      <c r="K74" s="38">
        <f t="shared" si="27"/>
        <v>53.401427976548554</v>
      </c>
      <c r="L74" s="38">
        <f t="shared" si="27"/>
        <v>64.064358107765869</v>
      </c>
      <c r="M74" s="38">
        <f t="shared" si="27"/>
        <v>75.151581274756666</v>
      </c>
      <c r="N74" s="38">
        <f t="shared" si="27"/>
        <v>86.676215432835548</v>
      </c>
      <c r="O74" s="38">
        <f t="shared" si="27"/>
        <v>98.651742378211566</v>
      </c>
      <c r="P74" s="38">
        <f t="shared" si="27"/>
        <v>111.09201724428749</v>
      </c>
      <c r="Q74" s="38">
        <f t="shared" si="27"/>
        <v>113.42494960641754</v>
      </c>
      <c r="R74" s="38">
        <f t="shared" si="27"/>
        <v>115.80687354815227</v>
      </c>
      <c r="S74" s="38">
        <f t="shared" si="27"/>
        <v>118.23881789266343</v>
      </c>
      <c r="T74" s="38">
        <f t="shared" si="27"/>
        <v>120.72183306840937</v>
      </c>
      <c r="U74" s="38">
        <f t="shared" si="27"/>
        <v>123.25699156284595</v>
      </c>
      <c r="V74" s="38">
        <f t="shared" si="27"/>
        <v>125.84538838566573</v>
      </c>
      <c r="W74" s="38">
        <f t="shared" si="26"/>
        <v>128.48814154176469</v>
      </c>
      <c r="X74" s="38">
        <f t="shared" si="26"/>
        <v>131.18639251414172</v>
      </c>
      <c r="Y74" s="38">
        <f t="shared" si="26"/>
        <v>133.9413067569387</v>
      </c>
      <c r="Z74" s="38">
        <f t="shared" si="26"/>
        <v>136.75407419883442</v>
      </c>
      <c r="AA74" s="38">
        <f t="shared" si="26"/>
        <v>131.24835517158931</v>
      </c>
      <c r="AC74"/>
      <c r="AD74"/>
      <c r="AE74"/>
      <c r="AF74"/>
    </row>
    <row r="75" spans="1:32" s="27" customFormat="1" ht="35.6">
      <c r="A75" s="220" t="s">
        <v>944</v>
      </c>
      <c r="B75" s="388" t="s">
        <v>15</v>
      </c>
      <c r="C75" s="230" t="s">
        <v>47</v>
      </c>
      <c r="D75" s="230" t="s">
        <v>47</v>
      </c>
      <c r="E75" s="230" t="s">
        <v>47</v>
      </c>
      <c r="F75" s="230" t="s">
        <v>47</v>
      </c>
      <c r="G75" s="53">
        <f>SUM(G76:G78)</f>
        <v>88.520764588292749</v>
      </c>
      <c r="H75" s="53">
        <f t="shared" ref="H75:AA75" si="28">SUM(H76:H78)</f>
        <v>170.71721232877744</v>
      </c>
      <c r="I75" s="53">
        <f t="shared" si="28"/>
        <v>256.32687321717901</v>
      </c>
      <c r="J75" s="53">
        <f t="shared" si="28"/>
        <v>345.45685357225659</v>
      </c>
      <c r="K75" s="53">
        <f t="shared" si="28"/>
        <v>427.52902726942284</v>
      </c>
      <c r="L75" s="53">
        <f t="shared" si="28"/>
        <v>512.89588578944483</v>
      </c>
      <c r="M75" s="53">
        <f t="shared" si="28"/>
        <v>601.65961206628174</v>
      </c>
      <c r="N75" s="53">
        <f t="shared" si="28"/>
        <v>693.92522776111286</v>
      </c>
      <c r="O75" s="53">
        <f t="shared" si="28"/>
        <v>789.80066742620545</v>
      </c>
      <c r="P75" s="53">
        <f t="shared" si="28"/>
        <v>889.39685453178936</v>
      </c>
      <c r="Q75" s="53">
        <f t="shared" si="28"/>
        <v>908.07418847695703</v>
      </c>
      <c r="R75" s="53">
        <f t="shared" si="28"/>
        <v>927.14374643497285</v>
      </c>
      <c r="S75" s="53">
        <f t="shared" si="28"/>
        <v>946.61376511010701</v>
      </c>
      <c r="T75" s="53">
        <f t="shared" si="28"/>
        <v>966.49265417741913</v>
      </c>
      <c r="U75" s="53">
        <f t="shared" si="28"/>
        <v>986.78899991514493</v>
      </c>
      <c r="V75" s="53">
        <f t="shared" si="28"/>
        <v>1007.5115689133632</v>
      </c>
      <c r="W75" s="53">
        <f t="shared" si="28"/>
        <v>1028.6693118605435</v>
      </c>
      <c r="X75" s="53">
        <f t="shared" si="28"/>
        <v>1050.2713674096146</v>
      </c>
      <c r="Y75" s="53">
        <f t="shared" si="28"/>
        <v>1072.3270661252166</v>
      </c>
      <c r="Z75" s="53">
        <f t="shared" si="28"/>
        <v>1094.845934513846</v>
      </c>
      <c r="AA75" s="53">
        <f t="shared" si="28"/>
        <v>1050.7674371903186</v>
      </c>
      <c r="AC75"/>
      <c r="AD75"/>
      <c r="AE75"/>
      <c r="AF75"/>
    </row>
    <row r="76" spans="1:32" s="27" customFormat="1">
      <c r="A76" s="27" t="s">
        <v>849</v>
      </c>
      <c r="B76" s="388" t="s">
        <v>15</v>
      </c>
      <c r="C76" s="230" t="s">
        <v>47</v>
      </c>
      <c r="D76" s="230" t="s">
        <v>47</v>
      </c>
      <c r="E76" s="230" t="s">
        <v>47</v>
      </c>
      <c r="F76" s="230" t="s">
        <v>47</v>
      </c>
      <c r="G76" s="38">
        <f>G80*4</f>
        <v>23.688161787862548</v>
      </c>
      <c r="H76" s="38">
        <f t="shared" ref="H76:W78" si="29">H80*4</f>
        <v>45.683936016881134</v>
      </c>
      <c r="I76" s="38">
        <f t="shared" si="29"/>
        <v>68.593086284170028</v>
      </c>
      <c r="J76" s="38">
        <f t="shared" si="29"/>
        <v>92.444274246901657</v>
      </c>
      <c r="K76" s="38">
        <f t="shared" si="29"/>
        <v>114.40679273465035</v>
      </c>
      <c r="L76" s="38">
        <f t="shared" si="29"/>
        <v>137.25096907394169</v>
      </c>
      <c r="M76" s="38">
        <f t="shared" si="29"/>
        <v>161.00414742388719</v>
      </c>
      <c r="N76" s="38">
        <f t="shared" si="29"/>
        <v>185.69443158716888</v>
      </c>
      <c r="O76" s="38">
        <f t="shared" si="29"/>
        <v>211.35070485629436</v>
      </c>
      <c r="P76" s="38">
        <f t="shared" si="29"/>
        <v>238.00265035839323</v>
      </c>
      <c r="Q76" s="38">
        <f t="shared" si="29"/>
        <v>243.00070601591952</v>
      </c>
      <c r="R76" s="38">
        <f t="shared" si="29"/>
        <v>248.10372084225375</v>
      </c>
      <c r="S76" s="38">
        <f t="shared" si="29"/>
        <v>253.313898979941</v>
      </c>
      <c r="T76" s="38">
        <f t="shared" si="29"/>
        <v>258.63349085851974</v>
      </c>
      <c r="U76" s="38">
        <f t="shared" si="29"/>
        <v>264.06479416654867</v>
      </c>
      <c r="V76" s="38">
        <f t="shared" si="29"/>
        <v>269.61015484404618</v>
      </c>
      <c r="W76" s="38">
        <f t="shared" si="29"/>
        <v>275.27196809577106</v>
      </c>
      <c r="X76" s="38">
        <f t="shared" ref="X76:AA78" si="30">X80*4</f>
        <v>281.05267942578229</v>
      </c>
      <c r="Y76" s="38">
        <f t="shared" si="30"/>
        <v>286.95478569372364</v>
      </c>
      <c r="Z76" s="38">
        <f t="shared" si="30"/>
        <v>292.98083619329185</v>
      </c>
      <c r="AA76" s="38">
        <f t="shared" si="30"/>
        <v>281.18542772814988</v>
      </c>
      <c r="AC76"/>
      <c r="AD76"/>
      <c r="AE76"/>
      <c r="AF76"/>
    </row>
    <row r="77" spans="1:32" s="27" customFormat="1">
      <c r="A77" s="27" t="s">
        <v>850</v>
      </c>
      <c r="B77" s="388" t="s">
        <v>15</v>
      </c>
      <c r="C77" s="230" t="s">
        <v>47</v>
      </c>
      <c r="D77" s="230" t="s">
        <v>47</v>
      </c>
      <c r="E77" s="230" t="s">
        <v>47</v>
      </c>
      <c r="F77" s="230" t="s">
        <v>47</v>
      </c>
      <c r="G77" s="38">
        <f t="shared" ref="G77:G78" si="31">G81*4</f>
        <v>37.190414006944195</v>
      </c>
      <c r="H77" s="38">
        <f t="shared" si="29"/>
        <v>71.723779546503366</v>
      </c>
      <c r="I77" s="38">
        <f t="shared" si="29"/>
        <v>107.69114546614696</v>
      </c>
      <c r="J77" s="38">
        <f t="shared" si="29"/>
        <v>145.13751056763562</v>
      </c>
      <c r="K77" s="38">
        <f t="shared" si="29"/>
        <v>179.61866459340112</v>
      </c>
      <c r="L77" s="38">
        <f t="shared" si="29"/>
        <v>215.48402144608846</v>
      </c>
      <c r="M77" s="38">
        <f t="shared" si="29"/>
        <v>252.77651145550294</v>
      </c>
      <c r="N77" s="38">
        <f t="shared" si="29"/>
        <v>291.5402575918551</v>
      </c>
      <c r="O77" s="38">
        <f t="shared" si="29"/>
        <v>331.82060662438221</v>
      </c>
      <c r="P77" s="38">
        <f t="shared" si="29"/>
        <v>373.66416106267741</v>
      </c>
      <c r="Q77" s="38">
        <f t="shared" si="29"/>
        <v>381.51110844499368</v>
      </c>
      <c r="R77" s="38">
        <f t="shared" si="29"/>
        <v>389.5228417223384</v>
      </c>
      <c r="S77" s="38">
        <f t="shared" si="29"/>
        <v>397.70282139850741</v>
      </c>
      <c r="T77" s="38">
        <f t="shared" si="29"/>
        <v>406.05458064787609</v>
      </c>
      <c r="U77" s="38">
        <f t="shared" si="29"/>
        <v>414.58172684148144</v>
      </c>
      <c r="V77" s="38">
        <f t="shared" si="29"/>
        <v>423.28794310515269</v>
      </c>
      <c r="W77" s="38">
        <f t="shared" si="29"/>
        <v>432.1769899103607</v>
      </c>
      <c r="X77" s="38">
        <f t="shared" si="30"/>
        <v>441.25270669847816</v>
      </c>
      <c r="Y77" s="38">
        <f t="shared" si="30"/>
        <v>450.51901353914627</v>
      </c>
      <c r="Z77" s="38">
        <f t="shared" si="30"/>
        <v>459.97991282346823</v>
      </c>
      <c r="AA77" s="38">
        <f t="shared" si="30"/>
        <v>441.46112153319535</v>
      </c>
      <c r="AC77"/>
      <c r="AD77"/>
      <c r="AE77"/>
      <c r="AF77"/>
    </row>
    <row r="78" spans="1:32" s="27" customFormat="1">
      <c r="A78" s="27" t="s">
        <v>851</v>
      </c>
      <c r="B78" s="388" t="s">
        <v>15</v>
      </c>
      <c r="C78" s="230" t="s">
        <v>47</v>
      </c>
      <c r="D78" s="230" t="s">
        <v>47</v>
      </c>
      <c r="E78" s="230" t="s">
        <v>47</v>
      </c>
      <c r="F78" s="230" t="s">
        <v>47</v>
      </c>
      <c r="G78" s="38">
        <f t="shared" si="31"/>
        <v>27.642188793486003</v>
      </c>
      <c r="H78" s="38">
        <f t="shared" si="29"/>
        <v>53.309496765392943</v>
      </c>
      <c r="I78" s="38">
        <f t="shared" si="29"/>
        <v>80.042641466862037</v>
      </c>
      <c r="J78" s="38">
        <f t="shared" si="29"/>
        <v>107.87506875771932</v>
      </c>
      <c r="K78" s="38">
        <f t="shared" si="29"/>
        <v>133.50356994137138</v>
      </c>
      <c r="L78" s="38">
        <f t="shared" si="29"/>
        <v>160.16089526941468</v>
      </c>
      <c r="M78" s="38">
        <f t="shared" si="29"/>
        <v>187.87895318689166</v>
      </c>
      <c r="N78" s="38">
        <f t="shared" si="29"/>
        <v>216.69053858208886</v>
      </c>
      <c r="O78" s="38">
        <f t="shared" si="29"/>
        <v>246.62935594552891</v>
      </c>
      <c r="P78" s="38">
        <f t="shared" si="29"/>
        <v>277.73004311071873</v>
      </c>
      <c r="Q78" s="38">
        <f t="shared" si="29"/>
        <v>283.56237401604386</v>
      </c>
      <c r="R78" s="38">
        <f t="shared" si="29"/>
        <v>289.51718387038068</v>
      </c>
      <c r="S78" s="38">
        <f t="shared" si="29"/>
        <v>295.59704473165857</v>
      </c>
      <c r="T78" s="38">
        <f t="shared" si="29"/>
        <v>301.80458267102341</v>
      </c>
      <c r="U78" s="38">
        <f t="shared" si="29"/>
        <v>308.14247890711488</v>
      </c>
      <c r="V78" s="38">
        <f t="shared" si="29"/>
        <v>314.61347096416432</v>
      </c>
      <c r="W78" s="38">
        <f t="shared" si="29"/>
        <v>321.22035385441171</v>
      </c>
      <c r="X78" s="38">
        <f t="shared" si="30"/>
        <v>327.9659812853543</v>
      </c>
      <c r="Y78" s="38">
        <f t="shared" si="30"/>
        <v>334.85326689234677</v>
      </c>
      <c r="Z78" s="38">
        <f t="shared" si="30"/>
        <v>341.88518549708601</v>
      </c>
      <c r="AA78" s="38">
        <f t="shared" si="30"/>
        <v>328.12088792897327</v>
      </c>
      <c r="AC78"/>
      <c r="AD78"/>
      <c r="AE78"/>
      <c r="AF78"/>
    </row>
    <row r="79" spans="1:32" s="27" customFormat="1">
      <c r="A79" s="27" t="s">
        <v>629</v>
      </c>
      <c r="B79" s="388" t="s">
        <v>15</v>
      </c>
      <c r="C79" s="230" t="s">
        <v>47</v>
      </c>
      <c r="D79" s="230" t="s">
        <v>47</v>
      </c>
      <c r="E79" s="230" t="s">
        <v>47</v>
      </c>
      <c r="F79" s="230" t="s">
        <v>47</v>
      </c>
      <c r="G79" s="53">
        <f>SUM(G80:G82)</f>
        <v>22.130191147073187</v>
      </c>
      <c r="H79" s="53">
        <f t="shared" ref="H79:AA79" si="32">SUM(H80:H82)</f>
        <v>42.679303082194359</v>
      </c>
      <c r="I79" s="53">
        <f t="shared" si="32"/>
        <v>64.081718304294753</v>
      </c>
      <c r="J79" s="53">
        <f t="shared" si="32"/>
        <v>86.364213393064148</v>
      </c>
      <c r="K79" s="53">
        <f t="shared" si="32"/>
        <v>106.88225681735571</v>
      </c>
      <c r="L79" s="53">
        <f t="shared" si="32"/>
        <v>128.22397144736121</v>
      </c>
      <c r="M79" s="53">
        <f t="shared" si="32"/>
        <v>150.41490301657043</v>
      </c>
      <c r="N79" s="53">
        <f t="shared" si="32"/>
        <v>173.48130694027822</v>
      </c>
      <c r="O79" s="53">
        <f t="shared" si="32"/>
        <v>197.45016685655136</v>
      </c>
      <c r="P79" s="53">
        <f t="shared" si="32"/>
        <v>222.34921363294734</v>
      </c>
      <c r="Q79" s="53">
        <f t="shared" si="32"/>
        <v>227.01854711923926</v>
      </c>
      <c r="R79" s="53">
        <f t="shared" si="32"/>
        <v>231.78593660874321</v>
      </c>
      <c r="S79" s="53">
        <f t="shared" si="32"/>
        <v>236.65344127752675</v>
      </c>
      <c r="T79" s="53">
        <f t="shared" si="32"/>
        <v>241.62316354435478</v>
      </c>
      <c r="U79" s="53">
        <f t="shared" si="32"/>
        <v>246.69724997878623</v>
      </c>
      <c r="V79" s="53">
        <f t="shared" si="32"/>
        <v>251.87789222834081</v>
      </c>
      <c r="W79" s="53">
        <f t="shared" si="32"/>
        <v>257.16732796513588</v>
      </c>
      <c r="X79" s="53">
        <f t="shared" si="32"/>
        <v>262.56784185240366</v>
      </c>
      <c r="Y79" s="53">
        <f t="shared" si="32"/>
        <v>268.08176653130414</v>
      </c>
      <c r="Z79" s="53">
        <f t="shared" si="32"/>
        <v>273.71148362846151</v>
      </c>
      <c r="AA79" s="53">
        <f t="shared" si="32"/>
        <v>262.69185929757964</v>
      </c>
      <c r="AC79"/>
      <c r="AD79"/>
      <c r="AE79"/>
      <c r="AF79"/>
    </row>
    <row r="80" spans="1:32" s="27" customFormat="1">
      <c r="A80" s="27" t="s">
        <v>849</v>
      </c>
      <c r="B80" s="388" t="s">
        <v>15</v>
      </c>
      <c r="C80" s="230" t="s">
        <v>47</v>
      </c>
      <c r="D80" s="230" t="s">
        <v>47</v>
      </c>
      <c r="E80" s="230" t="s">
        <v>47</v>
      </c>
      <c r="F80" s="230" t="s">
        <v>47</v>
      </c>
      <c r="G80" s="53">
        <f t="shared" ref="G80:V81" si="33">$B$94/100*G$179*24*G99/1000000</f>
        <v>5.9220404469656369</v>
      </c>
      <c r="H80" s="53">
        <f t="shared" si="33"/>
        <v>11.420984004220283</v>
      </c>
      <c r="I80" s="53">
        <f t="shared" si="33"/>
        <v>17.148271571042507</v>
      </c>
      <c r="J80" s="53">
        <f t="shared" si="33"/>
        <v>23.111068561725414</v>
      </c>
      <c r="K80" s="53">
        <f t="shared" si="33"/>
        <v>28.601698183662588</v>
      </c>
      <c r="L80" s="53">
        <f t="shared" si="33"/>
        <v>34.312742268485422</v>
      </c>
      <c r="M80" s="53">
        <f t="shared" si="33"/>
        <v>40.251036855971797</v>
      </c>
      <c r="N80" s="53">
        <f t="shared" si="33"/>
        <v>46.42360789679222</v>
      </c>
      <c r="O80" s="53">
        <f t="shared" si="33"/>
        <v>52.837676214073589</v>
      </c>
      <c r="P80" s="53">
        <f t="shared" si="33"/>
        <v>59.500662589598306</v>
      </c>
      <c r="Q80" s="53">
        <f t="shared" si="33"/>
        <v>60.75017650397988</v>
      </c>
      <c r="R80" s="53">
        <f t="shared" si="33"/>
        <v>62.025930210563438</v>
      </c>
      <c r="S80" s="53">
        <f t="shared" si="33"/>
        <v>63.32847474498525</v>
      </c>
      <c r="T80" s="53">
        <f t="shared" si="33"/>
        <v>64.658372714629934</v>
      </c>
      <c r="U80" s="53">
        <f t="shared" si="33"/>
        <v>66.016198541637166</v>
      </c>
      <c r="V80" s="53">
        <f t="shared" si="33"/>
        <v>67.402538711011545</v>
      </c>
      <c r="W80" s="53">
        <f t="shared" ref="H80:AA81" si="34">$B$94/100*W$179*24*W99/1000000</f>
        <v>68.817992023942764</v>
      </c>
      <c r="X80" s="53">
        <f t="shared" si="34"/>
        <v>70.263169856445572</v>
      </c>
      <c r="Y80" s="53">
        <f t="shared" si="34"/>
        <v>71.738696423430909</v>
      </c>
      <c r="Z80" s="53">
        <f t="shared" si="34"/>
        <v>73.245209048322963</v>
      </c>
      <c r="AA80" s="53">
        <f t="shared" si="34"/>
        <v>70.296356932037469</v>
      </c>
      <c r="AC80"/>
      <c r="AD80"/>
      <c r="AE80"/>
      <c r="AF80"/>
    </row>
    <row r="81" spans="1:32" s="27" customFormat="1">
      <c r="A81" s="27" t="s">
        <v>850</v>
      </c>
      <c r="B81" s="388" t="s">
        <v>15</v>
      </c>
      <c r="C81" s="230" t="s">
        <v>47</v>
      </c>
      <c r="D81" s="230" t="s">
        <v>47</v>
      </c>
      <c r="E81" s="230" t="s">
        <v>47</v>
      </c>
      <c r="F81" s="230" t="s">
        <v>47</v>
      </c>
      <c r="G81" s="53">
        <f t="shared" si="33"/>
        <v>9.2976035017360488</v>
      </c>
      <c r="H81" s="53">
        <f t="shared" si="34"/>
        <v>17.930944886625841</v>
      </c>
      <c r="I81" s="53">
        <f t="shared" si="34"/>
        <v>26.922786366536741</v>
      </c>
      <c r="J81" s="53">
        <f t="shared" si="34"/>
        <v>36.284377641908904</v>
      </c>
      <c r="K81" s="53">
        <f t="shared" si="34"/>
        <v>44.90466614835028</v>
      </c>
      <c r="L81" s="53">
        <f t="shared" si="34"/>
        <v>53.871005361522116</v>
      </c>
      <c r="M81" s="53">
        <f t="shared" si="34"/>
        <v>63.194127863875735</v>
      </c>
      <c r="N81" s="53">
        <f t="shared" si="34"/>
        <v>72.885064397963774</v>
      </c>
      <c r="O81" s="53">
        <f t="shared" si="34"/>
        <v>82.955151656095552</v>
      </c>
      <c r="P81" s="53">
        <f t="shared" si="34"/>
        <v>93.416040265669352</v>
      </c>
      <c r="Q81" s="53">
        <f t="shared" si="34"/>
        <v>95.37777711124842</v>
      </c>
      <c r="R81" s="53">
        <f t="shared" si="34"/>
        <v>97.3807104305846</v>
      </c>
      <c r="S81" s="53">
        <f t="shared" si="34"/>
        <v>99.425705349626853</v>
      </c>
      <c r="T81" s="53">
        <f t="shared" si="34"/>
        <v>101.51364516196902</v>
      </c>
      <c r="U81" s="53">
        <f t="shared" si="34"/>
        <v>103.64543171037036</v>
      </c>
      <c r="V81" s="53">
        <f t="shared" si="34"/>
        <v>105.82198577628817</v>
      </c>
      <c r="W81" s="53">
        <f t="shared" si="34"/>
        <v>108.04424747759018</v>
      </c>
      <c r="X81" s="53">
        <f t="shared" si="34"/>
        <v>110.31317667461954</v>
      </c>
      <c r="Y81" s="53">
        <f t="shared" si="34"/>
        <v>112.62975338478657</v>
      </c>
      <c r="Z81" s="53">
        <f t="shared" si="34"/>
        <v>114.99497820586706</v>
      </c>
      <c r="AA81" s="53">
        <f t="shared" si="34"/>
        <v>110.36528038329884</v>
      </c>
      <c r="AC81"/>
      <c r="AD81"/>
      <c r="AE81"/>
      <c r="AF81"/>
    </row>
    <row r="82" spans="1:32" s="27" customFormat="1">
      <c r="A82" s="27" t="s">
        <v>851</v>
      </c>
      <c r="B82" s="388" t="s">
        <v>15</v>
      </c>
      <c r="C82" s="230" t="s">
        <v>47</v>
      </c>
      <c r="D82" s="230" t="s">
        <v>47</v>
      </c>
      <c r="E82" s="230" t="s">
        <v>47</v>
      </c>
      <c r="F82" s="230" t="s">
        <v>47</v>
      </c>
      <c r="G82" s="53">
        <f>$B$94/100*G$179*24*G101/1000000</f>
        <v>6.9105471983715008</v>
      </c>
      <c r="H82" s="53">
        <f t="shared" ref="H82:AA82" si="35">$B$94/100*H$179*24*H101/1000000</f>
        <v>13.327374191348236</v>
      </c>
      <c r="I82" s="53">
        <f t="shared" si="35"/>
        <v>20.010660366715509</v>
      </c>
      <c r="J82" s="53">
        <f t="shared" si="35"/>
        <v>26.96876718942983</v>
      </c>
      <c r="K82" s="53">
        <f t="shared" si="35"/>
        <v>33.375892485342845</v>
      </c>
      <c r="L82" s="53">
        <f t="shared" si="35"/>
        <v>40.04022381735367</v>
      </c>
      <c r="M82" s="53">
        <f t="shared" si="35"/>
        <v>46.969738296722916</v>
      </c>
      <c r="N82" s="53">
        <f t="shared" si="35"/>
        <v>54.172634645522216</v>
      </c>
      <c r="O82" s="53">
        <f t="shared" si="35"/>
        <v>61.657338986382229</v>
      </c>
      <c r="P82" s="53">
        <f t="shared" si="35"/>
        <v>69.432510777679681</v>
      </c>
      <c r="Q82" s="53">
        <f t="shared" si="35"/>
        <v>70.890593504010965</v>
      </c>
      <c r="R82" s="53">
        <f t="shared" si="35"/>
        <v>72.379295967595169</v>
      </c>
      <c r="S82" s="53">
        <f t="shared" si="35"/>
        <v>73.899261182914643</v>
      </c>
      <c r="T82" s="53">
        <f t="shared" si="35"/>
        <v>75.451145667755853</v>
      </c>
      <c r="U82" s="53">
        <f t="shared" si="35"/>
        <v>77.035619726778719</v>
      </c>
      <c r="V82" s="53">
        <f t="shared" si="35"/>
        <v>78.65336774104108</v>
      </c>
      <c r="W82" s="53">
        <f t="shared" si="35"/>
        <v>80.305088463602928</v>
      </c>
      <c r="X82" s="53">
        <f t="shared" si="35"/>
        <v>81.991495321338576</v>
      </c>
      <c r="Y82" s="53">
        <f t="shared" si="35"/>
        <v>83.713316723086692</v>
      </c>
      <c r="Z82" s="53">
        <f t="shared" si="35"/>
        <v>85.471296374271503</v>
      </c>
      <c r="AA82" s="53">
        <f t="shared" si="35"/>
        <v>82.030221982243319</v>
      </c>
      <c r="AC82"/>
      <c r="AD82"/>
      <c r="AE82"/>
      <c r="AF82"/>
    </row>
    <row r="83" spans="1:32" s="27" customFormat="1">
      <c r="B83" s="388"/>
      <c r="C83" s="224"/>
      <c r="D83" s="224"/>
      <c r="E83" s="224"/>
      <c r="F83" s="224"/>
      <c r="G83" s="73"/>
      <c r="H83" s="53"/>
      <c r="I83" s="53"/>
      <c r="J83" s="53"/>
      <c r="K83" s="53"/>
      <c r="L83" s="53"/>
      <c r="M83" s="53"/>
      <c r="N83" s="53"/>
      <c r="O83" s="53"/>
      <c r="P83" s="53"/>
      <c r="Q83" s="53"/>
      <c r="R83" s="53"/>
      <c r="S83" s="53"/>
      <c r="T83" s="53"/>
      <c r="U83" s="53"/>
      <c r="V83" s="53"/>
      <c r="W83" s="53"/>
      <c r="X83" s="53"/>
      <c r="Y83" s="53"/>
      <c r="Z83" s="53"/>
      <c r="AA83" s="73"/>
      <c r="AC83"/>
      <c r="AD83"/>
      <c r="AE83"/>
      <c r="AF83"/>
    </row>
    <row r="84" spans="1:32" s="27" customFormat="1" ht="27" customHeight="1">
      <c r="A84" s="227" t="s">
        <v>874</v>
      </c>
      <c r="B84" s="264" t="s">
        <v>7</v>
      </c>
      <c r="C84" s="53">
        <f>'Main calculations'!C226/(C181/1000)*100</f>
        <v>417.24433748798504</v>
      </c>
      <c r="AC84"/>
      <c r="AD84"/>
      <c r="AE84"/>
      <c r="AF84"/>
    </row>
    <row r="85" spans="1:32" s="27" customFormat="1">
      <c r="A85" s="42" t="s">
        <v>605</v>
      </c>
      <c r="B85" s="366" t="s">
        <v>7</v>
      </c>
      <c r="C85" s="53">
        <f>ROUND('ABS Leave entitlement'!E27,0)</f>
        <v>25</v>
      </c>
      <c r="AC85"/>
      <c r="AD85"/>
      <c r="AE85"/>
      <c r="AF85"/>
    </row>
    <row r="86" spans="1:32" s="27" customFormat="1">
      <c r="B86" s="366"/>
      <c r="E86" s="224"/>
      <c r="F86" s="224"/>
      <c r="AC86"/>
      <c r="AD86"/>
      <c r="AE86"/>
      <c r="AF86"/>
    </row>
    <row r="87" spans="1:32" s="27" customFormat="1">
      <c r="A87" s="19" t="s">
        <v>636</v>
      </c>
      <c r="B87" s="27" t="s">
        <v>639</v>
      </c>
      <c r="C87" s="27" t="s">
        <v>635</v>
      </c>
      <c r="D87" s="224" t="s">
        <v>640</v>
      </c>
      <c r="F87" s="224"/>
      <c r="AC87"/>
      <c r="AD87"/>
      <c r="AE87"/>
      <c r="AF87"/>
    </row>
    <row r="88" spans="1:32" s="27" customFormat="1">
      <c r="A88" s="26" t="s">
        <v>91</v>
      </c>
      <c r="B88" s="228" t="s">
        <v>558</v>
      </c>
      <c r="C88" s="229" t="s">
        <v>641</v>
      </c>
      <c r="D88" s="229" t="s">
        <v>638</v>
      </c>
      <c r="AC88"/>
      <c r="AD88"/>
      <c r="AE88"/>
      <c r="AF88"/>
    </row>
    <row r="89" spans="1:32" s="27" customFormat="1">
      <c r="A89" s="27" t="s">
        <v>349</v>
      </c>
      <c r="B89" s="231">
        <f>SUM(C89:C89)/(24*60)*100</f>
        <v>14.374999999999998</v>
      </c>
      <c r="C89" s="230">
        <f>3*60+27</f>
        <v>207</v>
      </c>
      <c r="D89" s="230" t="str">
        <f>'ABS Time use'!J17</f>
        <v>3:27</v>
      </c>
      <c r="AC89"/>
      <c r="AD89"/>
      <c r="AE89"/>
      <c r="AF89"/>
    </row>
    <row r="90" spans="1:32" s="27" customFormat="1">
      <c r="A90" s="27" t="s">
        <v>634</v>
      </c>
      <c r="B90" s="231">
        <f>SUM(C91:C93)/(24*60)*100</f>
        <v>13.541666666666666</v>
      </c>
      <c r="C90" s="230">
        <f>SUM(C91:C93)</f>
        <v>195</v>
      </c>
      <c r="D90" s="230"/>
      <c r="AC90"/>
      <c r="AD90"/>
      <c r="AE90"/>
      <c r="AF90"/>
    </row>
    <row r="91" spans="1:32" s="27" customFormat="1">
      <c r="A91" s="27" t="s">
        <v>852</v>
      </c>
      <c r="B91" s="231"/>
      <c r="C91" s="230">
        <v>41</v>
      </c>
      <c r="D91" s="230" t="str">
        <f>'ABS Time use'!J43</f>
        <v>0:41</v>
      </c>
      <c r="AC91"/>
      <c r="AD91"/>
      <c r="AE91"/>
      <c r="AF91"/>
    </row>
    <row r="92" spans="1:32" s="27" customFormat="1">
      <c r="A92" s="27" t="s">
        <v>853</v>
      </c>
      <c r="B92" s="231"/>
      <c r="C92" s="230">
        <f>2*60+15</f>
        <v>135</v>
      </c>
      <c r="D92" s="230" t="str">
        <f>'ABS Time use'!J32</f>
        <v>2:15</v>
      </c>
      <c r="AC92"/>
      <c r="AD92"/>
      <c r="AE92"/>
      <c r="AF92"/>
    </row>
    <row r="93" spans="1:32" s="27" customFormat="1">
      <c r="A93" s="27" t="s">
        <v>854</v>
      </c>
      <c r="B93" s="231"/>
      <c r="C93" s="230">
        <v>19</v>
      </c>
      <c r="D93" s="230" t="str">
        <f>'ABS Time use'!J56</f>
        <v>0:19</v>
      </c>
      <c r="AC93"/>
      <c r="AD93"/>
      <c r="AE93"/>
      <c r="AF93"/>
    </row>
    <row r="94" spans="1:32" s="27" customFormat="1">
      <c r="A94" s="27" t="s">
        <v>637</v>
      </c>
      <c r="B94" s="231">
        <f>SUM(C95:C96)/(24*60)*100</f>
        <v>20.555555555555554</v>
      </c>
      <c r="C94" s="230">
        <f>SUM(C95:C96)</f>
        <v>296</v>
      </c>
      <c r="D94" s="230"/>
      <c r="AC94"/>
      <c r="AD94"/>
      <c r="AE94"/>
      <c r="AF94"/>
    </row>
    <row r="95" spans="1:32" s="27" customFormat="1">
      <c r="A95" s="27" t="s">
        <v>855</v>
      </c>
      <c r="B95" s="230"/>
      <c r="C95" s="230">
        <v>43</v>
      </c>
      <c r="D95" s="230" t="str">
        <f>'ABS Time use'!J61</f>
        <v>0:43</v>
      </c>
      <c r="AC95"/>
      <c r="AD95"/>
      <c r="AE95"/>
      <c r="AF95"/>
    </row>
    <row r="96" spans="1:32" s="27" customFormat="1">
      <c r="A96" s="27" t="s">
        <v>856</v>
      </c>
      <c r="B96" s="230"/>
      <c r="C96" s="230">
        <f>4*60+13</f>
        <v>253</v>
      </c>
      <c r="D96" s="230" t="str">
        <f>'ABS Time use'!J70</f>
        <v>4:13</v>
      </c>
      <c r="AC96"/>
      <c r="AD96"/>
      <c r="AE96"/>
      <c r="AF96"/>
    </row>
    <row r="97" spans="1:32" s="27" customFormat="1">
      <c r="B97" s="366"/>
      <c r="AC97"/>
      <c r="AD97"/>
      <c r="AE97"/>
      <c r="AF97"/>
    </row>
    <row r="98" spans="1:32" s="27" customFormat="1">
      <c r="A98" s="19" t="s">
        <v>879</v>
      </c>
      <c r="B98" s="366"/>
      <c r="AC98"/>
      <c r="AD98"/>
      <c r="AE98"/>
      <c r="AF98"/>
    </row>
    <row r="99" spans="1:32" s="27" customFormat="1" ht="24">
      <c r="A99" s="220" t="s">
        <v>876</v>
      </c>
      <c r="B99" s="366" t="s">
        <v>875</v>
      </c>
      <c r="C99" s="72">
        <v>10</v>
      </c>
      <c r="D99" s="72">
        <f t="shared" ref="D99:AA99" si="36">C99/C103*D103</f>
        <v>10.054763866401933</v>
      </c>
      <c r="E99" s="72">
        <f t="shared" si="36"/>
        <v>10.112361068188733</v>
      </c>
      <c r="F99" s="72">
        <f t="shared" si="36"/>
        <v>10.173045442980976</v>
      </c>
      <c r="G99" s="72">
        <f t="shared" si="36"/>
        <v>10.237108259391542</v>
      </c>
      <c r="H99" s="72">
        <f t="shared" si="36"/>
        <v>10.304837086548016</v>
      </c>
      <c r="I99" s="72">
        <f t="shared" si="36"/>
        <v>10.376528458238473</v>
      </c>
      <c r="J99" s="72">
        <f t="shared" si="36"/>
        <v>10.452466353714524</v>
      </c>
      <c r="K99" s="72">
        <f t="shared" si="36"/>
        <v>10.532879173946958</v>
      </c>
      <c r="L99" s="72">
        <f t="shared" si="36"/>
        <v>10.615573440004862</v>
      </c>
      <c r="M99" s="72">
        <f t="shared" si="36"/>
        <v>10.700649606542921</v>
      </c>
      <c r="N99" s="72">
        <f t="shared" si="36"/>
        <v>10.788196930895015</v>
      </c>
      <c r="O99" s="72">
        <f t="shared" si="36"/>
        <v>10.878289413807648</v>
      </c>
      <c r="P99" s="72">
        <f t="shared" si="36"/>
        <v>10.97095078355547</v>
      </c>
      <c r="Q99" s="72">
        <f t="shared" si="36"/>
        <v>11.066195483337177</v>
      </c>
      <c r="R99" s="72">
        <f t="shared" si="36"/>
        <v>11.164021323703839</v>
      </c>
      <c r="S99" s="72">
        <f t="shared" si="36"/>
        <v>11.264386113558011</v>
      </c>
      <c r="T99" s="72">
        <f t="shared" si="36"/>
        <v>11.367233878621512</v>
      </c>
      <c r="U99" s="72">
        <f t="shared" si="36"/>
        <v>11.472488137607559</v>
      </c>
      <c r="V99" s="72">
        <f t="shared" si="36"/>
        <v>11.58004968421508</v>
      </c>
      <c r="W99" s="72">
        <f t="shared" si="36"/>
        <v>11.689821061852646</v>
      </c>
      <c r="X99" s="72">
        <f t="shared" si="36"/>
        <v>11.801701476715557</v>
      </c>
      <c r="Y99" s="72">
        <f t="shared" si="36"/>
        <v>11.915602875146234</v>
      </c>
      <c r="Z99" s="72">
        <f t="shared" si="36"/>
        <v>12.031428969465827</v>
      </c>
      <c r="AA99" s="72">
        <f t="shared" si="36"/>
        <v>12.149048209760956</v>
      </c>
      <c r="AC99"/>
      <c r="AD99"/>
      <c r="AE99"/>
      <c r="AF99"/>
    </row>
    <row r="100" spans="1:32" s="27" customFormat="1">
      <c r="A100" s="27" t="s">
        <v>878</v>
      </c>
      <c r="B100" s="366" t="s">
        <v>875</v>
      </c>
      <c r="C100" s="72">
        <f t="shared" ref="C100:AA100" si="37">C107/2</f>
        <v>15.7</v>
      </c>
      <c r="D100" s="72">
        <f t="shared" si="37"/>
        <v>15.785979270251033</v>
      </c>
      <c r="E100" s="72">
        <f t="shared" si="37"/>
        <v>15.87640687705631</v>
      </c>
      <c r="F100" s="72">
        <f t="shared" si="37"/>
        <v>15.971681345480132</v>
      </c>
      <c r="G100" s="72">
        <f t="shared" si="37"/>
        <v>16.072259967244719</v>
      </c>
      <c r="H100" s="72">
        <f t="shared" si="37"/>
        <v>16.178594225880385</v>
      </c>
      <c r="I100" s="72">
        <f t="shared" si="37"/>
        <v>16.291149679434405</v>
      </c>
      <c r="J100" s="72">
        <f t="shared" si="37"/>
        <v>16.410372175331805</v>
      </c>
      <c r="K100" s="72">
        <f t="shared" si="37"/>
        <v>16.536620303096729</v>
      </c>
      <c r="L100" s="72">
        <f t="shared" si="37"/>
        <v>16.666450300807636</v>
      </c>
      <c r="M100" s="72">
        <f t="shared" si="37"/>
        <v>16.800019882272387</v>
      </c>
      <c r="N100" s="72">
        <f t="shared" si="37"/>
        <v>16.937469181505175</v>
      </c>
      <c r="O100" s="72">
        <f t="shared" si="37"/>
        <v>17.078914379678011</v>
      </c>
      <c r="P100" s="72">
        <f t="shared" si="37"/>
        <v>17.224392730182089</v>
      </c>
      <c r="Q100" s="72">
        <f t="shared" si="37"/>
        <v>17.373926908839369</v>
      </c>
      <c r="R100" s="72">
        <f t="shared" si="37"/>
        <v>17.527513478215027</v>
      </c>
      <c r="S100" s="72">
        <f t="shared" si="37"/>
        <v>17.685086198286079</v>
      </c>
      <c r="T100" s="72">
        <f t="shared" si="37"/>
        <v>17.846557189435778</v>
      </c>
      <c r="U100" s="72">
        <f t="shared" si="37"/>
        <v>18.011806376043872</v>
      </c>
      <c r="V100" s="72">
        <f t="shared" si="37"/>
        <v>18.180678004217683</v>
      </c>
      <c r="W100" s="72">
        <f t="shared" si="37"/>
        <v>18.353019067108658</v>
      </c>
      <c r="X100" s="72">
        <f t="shared" si="37"/>
        <v>18.528671318443426</v>
      </c>
      <c r="Y100" s="72">
        <f t="shared" si="37"/>
        <v>18.707496513979592</v>
      </c>
      <c r="Z100" s="72">
        <f t="shared" si="37"/>
        <v>18.889343482061349</v>
      </c>
      <c r="AA100" s="72">
        <f t="shared" si="37"/>
        <v>19.074005689324704</v>
      </c>
      <c r="AC100"/>
      <c r="AD100"/>
      <c r="AE100"/>
      <c r="AF100"/>
    </row>
    <row r="101" spans="1:32" s="27" customFormat="1">
      <c r="A101" s="27" t="s">
        <v>877</v>
      </c>
      <c r="B101" s="366" t="s">
        <v>875</v>
      </c>
      <c r="C101" s="72">
        <f t="shared" ref="C101:AA101" si="38">C103/3</f>
        <v>11.669199594731509</v>
      </c>
      <c r="D101" s="72">
        <f t="shared" si="38"/>
        <v>11.733104643493846</v>
      </c>
      <c r="E101" s="72">
        <f t="shared" si="38"/>
        <v>11.800315967868665</v>
      </c>
      <c r="F101" s="72">
        <f t="shared" si="38"/>
        <v>11.871129776041883</v>
      </c>
      <c r="G101" s="72">
        <f t="shared" si="38"/>
        <v>11.945885955171436</v>
      </c>
      <c r="H101" s="72">
        <f t="shared" si="38"/>
        <v>12.024920075412034</v>
      </c>
      <c r="I101" s="72">
        <f t="shared" si="38"/>
        <v>12.108578167959637</v>
      </c>
      <c r="J101" s="72">
        <f t="shared" si="38"/>
        <v>12.197191613871025</v>
      </c>
      <c r="K101" s="72">
        <f t="shared" si="38"/>
        <v>12.29102693879778</v>
      </c>
      <c r="L101" s="72">
        <f t="shared" si="38"/>
        <v>12.38752452839473</v>
      </c>
      <c r="M101" s="72">
        <f t="shared" si="38"/>
        <v>12.486801605203453</v>
      </c>
      <c r="N101" s="72">
        <f t="shared" si="38"/>
        <v>12.588962325388382</v>
      </c>
      <c r="O101" s="72">
        <f t="shared" si="38"/>
        <v>12.694093041897629</v>
      </c>
      <c r="P101" s="72">
        <f t="shared" si="38"/>
        <v>12.802221443728483</v>
      </c>
      <c r="Q101" s="72">
        <f t="shared" si="38"/>
        <v>12.913364384937784</v>
      </c>
      <c r="R101" s="72">
        <f t="shared" si="38"/>
        <v>13.027519310613876</v>
      </c>
      <c r="S101" s="72">
        <f t="shared" si="38"/>
        <v>13.144636987123038</v>
      </c>
      <c r="T101" s="72">
        <f t="shared" si="38"/>
        <v>13.264652096962843</v>
      </c>
      <c r="U101" s="72">
        <f t="shared" si="38"/>
        <v>13.387475392593217</v>
      </c>
      <c r="V101" s="72">
        <f t="shared" si="38"/>
        <v>13.512991108201335</v>
      </c>
      <c r="W101" s="72">
        <f t="shared" si="38"/>
        <v>13.641085519745475</v>
      </c>
      <c r="X101" s="72">
        <f t="shared" si="38"/>
        <v>13.771641008923142</v>
      </c>
      <c r="Y101" s="72">
        <f t="shared" si="38"/>
        <v>13.904554824163805</v>
      </c>
      <c r="Z101" s="72">
        <f t="shared" si="38"/>
        <v>14.039714605453156</v>
      </c>
      <c r="AA101" s="72">
        <f t="shared" si="38"/>
        <v>14.176966844571611</v>
      </c>
      <c r="AC101"/>
      <c r="AD101"/>
      <c r="AE101"/>
      <c r="AF101"/>
    </row>
    <row r="102" spans="1:32" s="27" customFormat="1">
      <c r="A102" s="19"/>
      <c r="B102" s="366"/>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C102"/>
      <c r="AD102"/>
      <c r="AE102"/>
      <c r="AF102"/>
    </row>
    <row r="103" spans="1:32" s="27" customFormat="1">
      <c r="A103" s="27" t="s">
        <v>544</v>
      </c>
      <c r="B103" s="366" t="s">
        <v>2</v>
      </c>
      <c r="C103" s="72">
        <f>C104/C105</f>
        <v>35.007598784194528</v>
      </c>
      <c r="D103" s="72">
        <f>C103/'Main calculations'!C230*'Main calculations'!D230</f>
        <v>35.199313930481537</v>
      </c>
      <c r="E103" s="72">
        <f>D103/'Main calculations'!D230*'Main calculations'!E230</f>
        <v>35.400947903605996</v>
      </c>
      <c r="F103" s="72">
        <f>E103/'Main calculations'!E230*'Main calculations'!F230</f>
        <v>35.613389328125649</v>
      </c>
      <c r="G103" s="72">
        <f>F103/'Main calculations'!F230*'Main calculations'!G230</f>
        <v>35.837657865514309</v>
      </c>
      <c r="H103" s="72">
        <f>G103/'Main calculations'!G230*'Main calculations'!H230</f>
        <v>36.074760226236101</v>
      </c>
      <c r="I103" s="72">
        <f>H103/'Main calculations'!H230*'Main calculations'!I230</f>
        <v>36.325734503878913</v>
      </c>
      <c r="J103" s="72">
        <f>I103/'Main calculations'!I230*'Main calculations'!J230</f>
        <v>36.591574841613074</v>
      </c>
      <c r="K103" s="72">
        <f>J103/'Main calculations'!J230*'Main calculations'!K230</f>
        <v>36.87308081639334</v>
      </c>
      <c r="L103" s="72">
        <f>K103/'Main calculations'!K230*'Main calculations'!L230</f>
        <v>37.162573585184191</v>
      </c>
      <c r="M103" s="72">
        <f>L103/'Main calculations'!L230*'Main calculations'!M230</f>
        <v>37.46040481561036</v>
      </c>
      <c r="N103" s="72">
        <f>M103/'Main calculations'!M230*'Main calculations'!N230</f>
        <v>37.766886976165146</v>
      </c>
      <c r="O103" s="72">
        <f>N103/'Main calculations'!N230*'Main calculations'!O230</f>
        <v>38.082279125692885</v>
      </c>
      <c r="P103" s="72">
        <f>O103/'Main calculations'!O230*'Main calculations'!P230</f>
        <v>38.406664331185446</v>
      </c>
      <c r="Q103" s="72">
        <f>P103/'Main calculations'!P230*'Main calculations'!Q230</f>
        <v>38.740093154813351</v>
      </c>
      <c r="R103" s="72">
        <f>Q103/'Main calculations'!Q230*'Main calculations'!R230</f>
        <v>39.082557931841627</v>
      </c>
      <c r="S103" s="72">
        <f>R103/'Main calculations'!R230*'Main calculations'!S230</f>
        <v>39.433910961369115</v>
      </c>
      <c r="T103" s="72">
        <f>S103/'Main calculations'!S230*'Main calculations'!T230</f>
        <v>39.793956290888531</v>
      </c>
      <c r="U103" s="72">
        <f>T103/'Main calculations'!T230*'Main calculations'!U230</f>
        <v>40.162426177779651</v>
      </c>
      <c r="V103" s="72">
        <f>U103/'Main calculations'!U230*'Main calculations'!V230</f>
        <v>40.538973324604008</v>
      </c>
      <c r="W103" s="72">
        <f>V103/'Main calculations'!V230*'Main calculations'!W230</f>
        <v>40.923256559236428</v>
      </c>
      <c r="X103" s="72">
        <f>W103/'Main calculations'!W230*'Main calculations'!X230</f>
        <v>41.314923026769428</v>
      </c>
      <c r="Y103" s="72">
        <f>X103/'Main calculations'!X230*'Main calculations'!Y230</f>
        <v>41.713664472491416</v>
      </c>
      <c r="Z103" s="72">
        <f>Y103/'Main calculations'!Y230*'Main calculations'!Z230</f>
        <v>42.119143816359468</v>
      </c>
      <c r="AA103" s="72">
        <f>Z103/'Main calculations'!Z230*'Main calculations'!AA230</f>
        <v>42.530900533714835</v>
      </c>
      <c r="AC103"/>
      <c r="AD103"/>
      <c r="AE103"/>
      <c r="AF103"/>
    </row>
    <row r="104" spans="1:32" s="27" customFormat="1">
      <c r="A104" s="42" t="s">
        <v>857</v>
      </c>
      <c r="B104" s="366" t="s">
        <v>2</v>
      </c>
      <c r="C104" s="72">
        <f>'ABS earnings'!D20</f>
        <v>1151.75</v>
      </c>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C104"/>
      <c r="AD104"/>
      <c r="AE104"/>
      <c r="AF104"/>
    </row>
    <row r="105" spans="1:32" s="27" customFormat="1">
      <c r="A105" s="42" t="s">
        <v>858</v>
      </c>
      <c r="B105" s="366" t="s">
        <v>543</v>
      </c>
      <c r="C105" s="72">
        <f>'ABS Average weekly hours'!B9</f>
        <v>32.9</v>
      </c>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C105"/>
      <c r="AD105"/>
      <c r="AE105"/>
      <c r="AF105"/>
    </row>
    <row r="106" spans="1:32" s="27" customFormat="1">
      <c r="B106" s="366"/>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C106"/>
      <c r="AD106"/>
      <c r="AE106"/>
      <c r="AF106"/>
    </row>
    <row r="107" spans="1:32" s="27" customFormat="1" ht="24.45" thickBot="1">
      <c r="A107" s="321" t="s">
        <v>881</v>
      </c>
      <c r="B107" s="368" t="s">
        <v>2</v>
      </c>
      <c r="C107" s="245">
        <f>'ABS occ wage'!B42</f>
        <v>31.4</v>
      </c>
      <c r="D107" s="245">
        <f>C107/'Main calculations'!C230*'Main calculations'!D230</f>
        <v>31.571958540502067</v>
      </c>
      <c r="E107" s="245">
        <f>D107/'Main calculations'!D230*'Main calculations'!E230</f>
        <v>31.752813754112619</v>
      </c>
      <c r="F107" s="245">
        <f>E107/'Main calculations'!E230*'Main calculations'!F230</f>
        <v>31.943362690960264</v>
      </c>
      <c r="G107" s="245">
        <f>F107/'Main calculations'!F230*'Main calculations'!G230</f>
        <v>32.144519934489438</v>
      </c>
      <c r="H107" s="245">
        <f>G107/'Main calculations'!G230*'Main calculations'!H230</f>
        <v>32.35718845176077</v>
      </c>
      <c r="I107" s="245">
        <f>H107/'Main calculations'!H230*'Main calculations'!I230</f>
        <v>32.582299358868809</v>
      </c>
      <c r="J107" s="245">
        <f>I107/'Main calculations'!I230*'Main calculations'!J230</f>
        <v>32.82074435066361</v>
      </c>
      <c r="K107" s="245">
        <f>J107/'Main calculations'!J230*'Main calculations'!K230</f>
        <v>33.073240606193458</v>
      </c>
      <c r="L107" s="245">
        <f>K107/'Main calculations'!K230*'Main calculations'!L230</f>
        <v>33.332900601615272</v>
      </c>
      <c r="M107" s="245">
        <f>L107/'Main calculations'!L230*'Main calculations'!M230</f>
        <v>33.600039764544775</v>
      </c>
      <c r="N107" s="245">
        <f>M107/'Main calculations'!M230*'Main calculations'!N230</f>
        <v>33.874938363010351</v>
      </c>
      <c r="O107" s="245">
        <f>N107/'Main calculations'!N230*'Main calculations'!O230</f>
        <v>34.157828759356022</v>
      </c>
      <c r="P107" s="245">
        <f>O107/'Main calculations'!O230*'Main calculations'!P230</f>
        <v>34.448785460364178</v>
      </c>
      <c r="Q107" s="245">
        <f>P107/'Main calculations'!P230*'Main calculations'!Q230</f>
        <v>34.747853817678738</v>
      </c>
      <c r="R107" s="245">
        <f>Q107/'Main calculations'!Q230*'Main calculations'!R230</f>
        <v>35.055026956430055</v>
      </c>
      <c r="S107" s="245">
        <f>R107/'Main calculations'!R230*'Main calculations'!S230</f>
        <v>35.370172396572158</v>
      </c>
      <c r="T107" s="245">
        <f>S107/'Main calculations'!S230*'Main calculations'!T230</f>
        <v>35.693114378871556</v>
      </c>
      <c r="U107" s="245">
        <f>T107/'Main calculations'!T230*'Main calculations'!U230</f>
        <v>36.023612752087743</v>
      </c>
      <c r="V107" s="245">
        <f>U107/'Main calculations'!U230*'Main calculations'!V230</f>
        <v>36.361356008435365</v>
      </c>
      <c r="W107" s="245">
        <f>V107/'Main calculations'!V230*'Main calculations'!W230</f>
        <v>36.706038134217316</v>
      </c>
      <c r="X107" s="245">
        <f>W107/'Main calculations'!W230*'Main calculations'!X230</f>
        <v>37.057342636886851</v>
      </c>
      <c r="Y107" s="245">
        <f>X107/'Main calculations'!X230*'Main calculations'!Y230</f>
        <v>37.414993027959184</v>
      </c>
      <c r="Z107" s="245">
        <f>Y107/'Main calculations'!Y230*'Main calculations'!Z230</f>
        <v>37.778686964122699</v>
      </c>
      <c r="AA107" s="245">
        <f>Z107/'Main calculations'!Z230*'Main calculations'!AA230</f>
        <v>38.148011378649407</v>
      </c>
      <c r="AB107" s="225"/>
      <c r="AC107"/>
      <c r="AD107"/>
      <c r="AE107"/>
      <c r="AF107"/>
    </row>
    <row r="108" spans="1:32" s="27" customFormat="1">
      <c r="AC108"/>
      <c r="AD108"/>
      <c r="AE108"/>
      <c r="AF108"/>
    </row>
    <row r="109" spans="1:32" s="27" customFormat="1">
      <c r="A109" s="26"/>
      <c r="B109" s="19"/>
      <c r="C109" s="19"/>
      <c r="D109" s="19"/>
      <c r="E109" s="19"/>
      <c r="F109" s="19"/>
      <c r="G109" s="53"/>
      <c r="H109" s="53"/>
      <c r="I109" s="53"/>
      <c r="J109" s="53"/>
      <c r="K109" s="53"/>
      <c r="AC109"/>
      <c r="AD109"/>
      <c r="AE109"/>
      <c r="AF109"/>
    </row>
    <row r="110" spans="1:32" s="27" customFormat="1">
      <c r="A110" s="27" t="s">
        <v>650</v>
      </c>
      <c r="B110" s="27">
        <v>5</v>
      </c>
      <c r="C110" s="27" t="s">
        <v>793</v>
      </c>
      <c r="AC110"/>
      <c r="AD110"/>
      <c r="AE110"/>
      <c r="AF110"/>
    </row>
    <row r="111" spans="1:32" s="27" customFormat="1" ht="15" thickBot="1">
      <c r="C111" s="27" t="s">
        <v>578</v>
      </c>
      <c r="AC111"/>
      <c r="AD111"/>
      <c r="AE111"/>
      <c r="AF111"/>
    </row>
    <row r="112" spans="1:32" s="27" customFormat="1" ht="15" thickBot="1">
      <c r="A112" s="14"/>
      <c r="B112" s="14" t="s">
        <v>91</v>
      </c>
      <c r="C112" s="15">
        <v>2016</v>
      </c>
      <c r="D112" s="15">
        <v>2017</v>
      </c>
      <c r="E112" s="15">
        <v>2018</v>
      </c>
      <c r="F112" s="15">
        <v>2019</v>
      </c>
      <c r="G112" s="15">
        <v>2020</v>
      </c>
      <c r="H112" s="15">
        <v>2021</v>
      </c>
      <c r="I112" s="15">
        <v>2022</v>
      </c>
      <c r="J112" s="15">
        <v>2023</v>
      </c>
      <c r="K112" s="15">
        <v>2024</v>
      </c>
      <c r="L112" s="15">
        <v>2025</v>
      </c>
      <c r="M112" s="15">
        <v>2026</v>
      </c>
      <c r="N112" s="15">
        <v>2027</v>
      </c>
      <c r="O112" s="15">
        <v>2028</v>
      </c>
      <c r="P112" s="15">
        <v>2029</v>
      </c>
      <c r="Q112" s="15">
        <v>2030</v>
      </c>
      <c r="R112" s="15">
        <v>2031</v>
      </c>
      <c r="S112" s="15">
        <v>2032</v>
      </c>
      <c r="T112" s="15">
        <v>2033</v>
      </c>
      <c r="U112" s="15">
        <v>2034</v>
      </c>
      <c r="V112" s="15">
        <v>2035</v>
      </c>
      <c r="W112" s="15">
        <v>2036</v>
      </c>
      <c r="X112" s="15">
        <v>2037</v>
      </c>
      <c r="Y112" s="15">
        <v>2038</v>
      </c>
      <c r="Z112" s="15">
        <v>2039</v>
      </c>
      <c r="AA112" s="15">
        <v>2040</v>
      </c>
      <c r="AB112" s="292"/>
      <c r="AC112"/>
      <c r="AD112"/>
      <c r="AE112"/>
      <c r="AF112"/>
    </row>
    <row r="113" spans="1:32" s="27" customFormat="1">
      <c r="A113" s="19" t="s">
        <v>882</v>
      </c>
      <c r="B113" s="366"/>
      <c r="AC113"/>
      <c r="AD113"/>
      <c r="AE113"/>
      <c r="AF113"/>
    </row>
    <row r="114" spans="1:32" s="27" customFormat="1">
      <c r="A114" s="27" t="s">
        <v>549</v>
      </c>
      <c r="B114" s="366" t="s">
        <v>15</v>
      </c>
      <c r="C114" s="230" t="s">
        <v>47</v>
      </c>
      <c r="D114" s="230" t="s">
        <v>47</v>
      </c>
      <c r="E114" s="230" t="s">
        <v>47</v>
      </c>
      <c r="F114" s="230" t="s">
        <v>47</v>
      </c>
      <c r="G114" s="53">
        <f t="shared" ref="G114:AA114" si="39">G115*G$59/100</f>
        <v>40.782292625430685</v>
      </c>
      <c r="H114" s="53">
        <f t="shared" si="39"/>
        <v>77.542872077968951</v>
      </c>
      <c r="I114" s="53">
        <f t="shared" si="39"/>
        <v>114.82697427213328</v>
      </c>
      <c r="J114" s="53">
        <f t="shared" si="39"/>
        <v>152.68084298901724</v>
      </c>
      <c r="K114" s="53">
        <f t="shared" si="39"/>
        <v>186.49144954957151</v>
      </c>
      <c r="L114" s="53">
        <f t="shared" si="39"/>
        <v>220.84783599719083</v>
      </c>
      <c r="M114" s="53">
        <f t="shared" si="39"/>
        <v>255.77361056187812</v>
      </c>
      <c r="N114" s="53">
        <f t="shared" si="39"/>
        <v>291.29332416383096</v>
      </c>
      <c r="O114" s="53">
        <f t="shared" si="39"/>
        <v>327.43217475729455</v>
      </c>
      <c r="P114" s="53">
        <f t="shared" si="39"/>
        <v>364.21460850829362</v>
      </c>
      <c r="Q114" s="53">
        <f t="shared" si="39"/>
        <v>367.37655059771402</v>
      </c>
      <c r="R114" s="53">
        <f t="shared" si="39"/>
        <v>370.62418162387314</v>
      </c>
      <c r="S114" s="53">
        <f t="shared" si="39"/>
        <v>373.95610092293208</v>
      </c>
      <c r="T114" s="53">
        <f t="shared" si="39"/>
        <v>377.37045025578146</v>
      </c>
      <c r="U114" s="53">
        <f t="shared" si="39"/>
        <v>380.86469058980015</v>
      </c>
      <c r="V114" s="53">
        <f t="shared" si="39"/>
        <v>384.43552846530372</v>
      </c>
      <c r="W114" s="53">
        <f t="shared" si="39"/>
        <v>388.07972850962523</v>
      </c>
      <c r="X114" s="53">
        <f t="shared" si="39"/>
        <v>391.79394456099232</v>
      </c>
      <c r="Y114" s="53">
        <f t="shared" si="39"/>
        <v>395.57525340617997</v>
      </c>
      <c r="Z114" s="53">
        <f t="shared" si="39"/>
        <v>399.42045847818582</v>
      </c>
      <c r="AA114" s="53">
        <f t="shared" si="39"/>
        <v>379.12568101691136</v>
      </c>
      <c r="AC114"/>
      <c r="AD114"/>
      <c r="AE114"/>
      <c r="AF114"/>
    </row>
    <row r="115" spans="1:32" s="27" customFormat="1">
      <c r="A115" s="27" t="s">
        <v>548</v>
      </c>
      <c r="B115" s="366" t="s">
        <v>15</v>
      </c>
      <c r="C115" s="53">
        <f>'Inputs into time calculations'!$H$47/1000000</f>
        <v>885.28239273292684</v>
      </c>
      <c r="D115" s="53">
        <f>C115*'Main calculations'!D230/'Main calculations'!C230</f>
        <v>890.1305414012877</v>
      </c>
      <c r="E115" s="53">
        <f>D115*'Main calculations'!E230/'Main calculations'!D230</f>
        <v>895.22952026254154</v>
      </c>
      <c r="F115" s="53">
        <f>E115*'Main calculations'!F230/'Main calculations'!E230</f>
        <v>900.60180111429952</v>
      </c>
      <c r="G115" s="53">
        <f>F115*'Main calculations'!G230/'Main calculations'!F230</f>
        <v>906.27316945401515</v>
      </c>
      <c r="H115" s="53">
        <f>G115*'Main calculations'!H230/'Main calculations'!G230</f>
        <v>912.26908327022295</v>
      </c>
      <c r="I115" s="53">
        <f>H115*'Main calculations'!I230/'Main calculations'!H230</f>
        <v>918.61579417706628</v>
      </c>
      <c r="J115" s="53">
        <f>I115*'Main calculations'!J230/'Main calculations'!I230</f>
        <v>925.33844235768026</v>
      </c>
      <c r="K115" s="53">
        <f>J115*'Main calculations'!K230/'Main calculations'!J230</f>
        <v>932.45724774785754</v>
      </c>
      <c r="L115" s="53">
        <f>K115*'Main calculations'!L230/'Main calculations'!K230</f>
        <v>939.77802551996092</v>
      </c>
      <c r="M115" s="53">
        <f>L115*'Main calculations'!M230/'Main calculations'!L230</f>
        <v>947.30966874769672</v>
      </c>
      <c r="N115" s="53">
        <f>M115*'Main calculations'!N230/'Main calculations'!M230</f>
        <v>955.06007922567539</v>
      </c>
      <c r="O115" s="53">
        <f>N115*'Main calculations'!O230/'Main calculations'!N230</f>
        <v>963.03580810969004</v>
      </c>
      <c r="P115" s="53">
        <f>O115*'Main calculations'!P230/'Main calculations'!O230</f>
        <v>971.23895602211633</v>
      </c>
      <c r="Q115" s="53">
        <f>P115*'Main calculations'!Q230/'Main calculations'!P230</f>
        <v>979.67080159390412</v>
      </c>
      <c r="R115" s="53">
        <f>Q115*'Main calculations'!R230/'Main calculations'!Q230</f>
        <v>988.33115099699501</v>
      </c>
      <c r="S115" s="53">
        <f>R115*'Main calculations'!S230/'Main calculations'!R230</f>
        <v>997.21626912781892</v>
      </c>
      <c r="T115" s="53">
        <f>S115*'Main calculations'!T230/'Main calculations'!S230</f>
        <v>1006.3212006820839</v>
      </c>
      <c r="U115" s="53">
        <f>T115*'Main calculations'!U230/'Main calculations'!T230</f>
        <v>1015.6391749061338</v>
      </c>
      <c r="V115" s="53">
        <f>U115*'Main calculations'!V230/'Main calculations'!U230</f>
        <v>1025.1614092408099</v>
      </c>
      <c r="W115" s="53">
        <f>V115*'Main calculations'!W230/'Main calculations'!V230</f>
        <v>1034.8792760256672</v>
      </c>
      <c r="X115" s="53">
        <f>W115*'Main calculations'!X230/'Main calculations'!W230</f>
        <v>1044.7838521626461</v>
      </c>
      <c r="Y115" s="53">
        <f>X115*'Main calculations'!Y230/'Main calculations'!X230</f>
        <v>1054.8673424164799</v>
      </c>
      <c r="Z115" s="53">
        <f>Y115*'Main calculations'!Z230/'Main calculations'!Y230</f>
        <v>1065.1212226084956</v>
      </c>
      <c r="AA115" s="53">
        <f>Z115*'Main calculations'!AA230/'Main calculations'!Z230</f>
        <v>1075.533846856486</v>
      </c>
      <c r="AC115"/>
      <c r="AD115"/>
      <c r="AE115"/>
      <c r="AF115"/>
    </row>
    <row r="116" spans="1:32" s="27" customFormat="1">
      <c r="B116" s="366"/>
      <c r="AC116"/>
      <c r="AD116"/>
      <c r="AE116"/>
      <c r="AF116"/>
    </row>
    <row r="117" spans="1:32" s="27" customFormat="1">
      <c r="A117" s="19" t="s">
        <v>551</v>
      </c>
      <c r="B117" s="366"/>
      <c r="AC117"/>
      <c r="AD117"/>
      <c r="AE117"/>
      <c r="AF117"/>
    </row>
    <row r="118" spans="1:32" s="27" customFormat="1">
      <c r="A118" s="27" t="s">
        <v>552</v>
      </c>
      <c r="B118" s="366" t="s">
        <v>15</v>
      </c>
      <c r="C118" s="230" t="s">
        <v>47</v>
      </c>
      <c r="D118" s="230" t="s">
        <v>47</v>
      </c>
      <c r="E118" s="230" t="s">
        <v>47</v>
      </c>
      <c r="F118" s="230" t="s">
        <v>47</v>
      </c>
      <c r="G118" s="53">
        <f t="shared" ref="G118:AA118" si="40">G119*G$59/100</f>
        <v>14.328926919848213</v>
      </c>
      <c r="H118" s="53">
        <f t="shared" si="40"/>
        <v>27.244818170607246</v>
      </c>
      <c r="I118" s="53">
        <f t="shared" si="40"/>
        <v>40.344650014763936</v>
      </c>
      <c r="J118" s="53">
        <f t="shared" si="40"/>
        <v>53.644670282372189</v>
      </c>
      <c r="K118" s="53">
        <f t="shared" si="40"/>
        <v>65.524083609415527</v>
      </c>
      <c r="L118" s="53">
        <f t="shared" si="40"/>
        <v>77.595257615239362</v>
      </c>
      <c r="M118" s="53">
        <f t="shared" si="40"/>
        <v>89.866487091054367</v>
      </c>
      <c r="N118" s="53">
        <f t="shared" si="40"/>
        <v>102.34639804385229</v>
      </c>
      <c r="O118" s="53">
        <f t="shared" si="40"/>
        <v>115.04384381712272</v>
      </c>
      <c r="P118" s="53">
        <f t="shared" si="40"/>
        <v>127.96741361230312</v>
      </c>
      <c r="Q118" s="53">
        <f t="shared" si="40"/>
        <v>129.0783672690832</v>
      </c>
      <c r="R118" s="53">
        <f t="shared" si="40"/>
        <v>130.21942787751615</v>
      </c>
      <c r="S118" s="53">
        <f t="shared" si="40"/>
        <v>131.39010331201285</v>
      </c>
      <c r="T118" s="53">
        <f t="shared" si="40"/>
        <v>132.5897406771453</v>
      </c>
      <c r="U118" s="53">
        <f t="shared" si="40"/>
        <v>133.81744787954321</v>
      </c>
      <c r="V118" s="53">
        <f t="shared" si="40"/>
        <v>135.07206775662218</v>
      </c>
      <c r="W118" s="53">
        <f t="shared" si="40"/>
        <v>136.35246355476886</v>
      </c>
      <c r="X118" s="53">
        <f t="shared" si="40"/>
        <v>137.65745959443188</v>
      </c>
      <c r="Y118" s="53">
        <f t="shared" si="40"/>
        <v>138.98602879974143</v>
      </c>
      <c r="Z118" s="53">
        <f t="shared" si="40"/>
        <v>140.33704805151947</v>
      </c>
      <c r="AA118" s="53">
        <f t="shared" si="40"/>
        <v>133.2064439491927</v>
      </c>
      <c r="AC118"/>
      <c r="AD118"/>
      <c r="AE118"/>
      <c r="AF118"/>
    </row>
    <row r="119" spans="1:32" s="27" customFormat="1" ht="15" thickBot="1">
      <c r="A119" s="225" t="s">
        <v>553</v>
      </c>
      <c r="B119" s="368" t="s">
        <v>15</v>
      </c>
      <c r="C119" s="226">
        <f>'Inputs into time calculations'!$B$74/1000000</f>
        <v>311.04545360915722</v>
      </c>
      <c r="D119" s="226">
        <f>C119*'Main calculations'!D230/'Main calculations'!C230</f>
        <v>312.74885877579527</v>
      </c>
      <c r="E119" s="226">
        <f>D119*'Main calculations'!E230/'Main calculations'!D230</f>
        <v>314.54039355143459</v>
      </c>
      <c r="F119" s="226">
        <f>E119*'Main calculations'!F230/'Main calculations'!E230</f>
        <v>316.42795343985875</v>
      </c>
      <c r="G119" s="226">
        <f>F119*'Main calculations'!G230/'Main calculations'!F230</f>
        <v>318.42059821884919</v>
      </c>
      <c r="H119" s="226">
        <f>G119*'Main calculations'!H230/'Main calculations'!G230</f>
        <v>320.52727259537937</v>
      </c>
      <c r="I119" s="226">
        <f>H119*'Main calculations'!I230/'Main calculations'!H230</f>
        <v>322.75720011811148</v>
      </c>
      <c r="J119" s="226">
        <f>I119*'Main calculations'!J230/'Main calculations'!I230</f>
        <v>325.11921383255873</v>
      </c>
      <c r="K119" s="226">
        <f>J119*'Main calculations'!K230/'Main calculations'!J230</f>
        <v>327.62041804707764</v>
      </c>
      <c r="L119" s="226">
        <f>K119*'Main calculations'!L230/'Main calculations'!K230</f>
        <v>330.19258559676325</v>
      </c>
      <c r="M119" s="226">
        <f>L119*'Main calculations'!M230/'Main calculations'!L230</f>
        <v>332.83884107797917</v>
      </c>
      <c r="N119" s="226">
        <f>M119*'Main calculations'!N230/'Main calculations'!M230</f>
        <v>335.5619607995157</v>
      </c>
      <c r="O119" s="226">
        <f>N119*'Main calculations'!O230/'Main calculations'!N230</f>
        <v>338.36424652094928</v>
      </c>
      <c r="P119" s="226">
        <f>O119*'Main calculations'!P230/'Main calculations'!O230</f>
        <v>341.24643629947496</v>
      </c>
      <c r="Q119" s="226">
        <f>P119*'Main calculations'!Q230/'Main calculations'!P230</f>
        <v>344.20897938422183</v>
      </c>
      <c r="R119" s="226">
        <f>Q119*'Main calculations'!R230/'Main calculations'!Q230</f>
        <v>347.25180767337639</v>
      </c>
      <c r="S119" s="226">
        <f>R119*'Main calculations'!S230/'Main calculations'!R230</f>
        <v>350.37360883203428</v>
      </c>
      <c r="T119" s="226">
        <f>S119*'Main calculations'!T230/'Main calculations'!S230</f>
        <v>353.57264180572076</v>
      </c>
      <c r="U119" s="226">
        <f>T119*'Main calculations'!U230/'Main calculations'!T230</f>
        <v>356.84652767878185</v>
      </c>
      <c r="V119" s="226">
        <f>U119*'Main calculations'!V230/'Main calculations'!U230</f>
        <v>360.19218068432576</v>
      </c>
      <c r="W119" s="226">
        <f>V119*'Main calculations'!W230/'Main calculations'!V230</f>
        <v>363.60656947938361</v>
      </c>
      <c r="X119" s="226">
        <f>W119*'Main calculations'!X230/'Main calculations'!W230</f>
        <v>367.08655891848503</v>
      </c>
      <c r="Y119" s="226">
        <f>X119*'Main calculations'!Y230/'Main calculations'!X230</f>
        <v>370.62941013264384</v>
      </c>
      <c r="Z119" s="226">
        <f>Y119*'Main calculations'!Z230/'Main calculations'!Y230</f>
        <v>374.23212813738525</v>
      </c>
      <c r="AA119" s="226">
        <f>Z119*'Main calculations'!AA230/'Main calculations'!Z230</f>
        <v>377.8906211324616</v>
      </c>
      <c r="AB119" s="225"/>
      <c r="AC119"/>
      <c r="AD119"/>
      <c r="AE119"/>
      <c r="AF119"/>
    </row>
    <row r="120" spans="1:32" s="27" customFormat="1">
      <c r="AC120"/>
      <c r="AD120"/>
      <c r="AE120"/>
      <c r="AF120"/>
    </row>
    <row r="121" spans="1:32" s="27" customFormat="1">
      <c r="AC121"/>
      <c r="AD121"/>
      <c r="AE121"/>
      <c r="AF121"/>
    </row>
    <row r="122" spans="1:32" s="27" customFormat="1">
      <c r="A122" s="27" t="s">
        <v>650</v>
      </c>
      <c r="B122" s="27">
        <v>6</v>
      </c>
      <c r="C122" s="27" t="s">
        <v>794</v>
      </c>
      <c r="AC122"/>
      <c r="AD122"/>
      <c r="AE122"/>
      <c r="AF122"/>
    </row>
    <row r="123" spans="1:32" s="27" customFormat="1" ht="15" thickBot="1">
      <c r="C123" s="27" t="s">
        <v>578</v>
      </c>
      <c r="AC123"/>
      <c r="AD123"/>
      <c r="AE123"/>
      <c r="AF123"/>
    </row>
    <row r="124" spans="1:32" s="27" customFormat="1" ht="15" thickBot="1">
      <c r="A124" s="14"/>
      <c r="B124" s="14" t="s">
        <v>91</v>
      </c>
      <c r="C124" s="15">
        <v>2016</v>
      </c>
      <c r="D124" s="15">
        <v>2017</v>
      </c>
      <c r="E124" s="15">
        <v>2018</v>
      </c>
      <c r="F124" s="15">
        <v>2019</v>
      </c>
      <c r="G124" s="15">
        <v>2020</v>
      </c>
      <c r="H124" s="15">
        <v>2021</v>
      </c>
      <c r="I124" s="15">
        <v>2022</v>
      </c>
      <c r="J124" s="15">
        <v>2023</v>
      </c>
      <c r="K124" s="15">
        <v>2024</v>
      </c>
      <c r="L124" s="15">
        <v>2025</v>
      </c>
      <c r="M124" s="15">
        <v>2026</v>
      </c>
      <c r="N124" s="15">
        <v>2027</v>
      </c>
      <c r="O124" s="15">
        <v>2028</v>
      </c>
      <c r="P124" s="15">
        <v>2029</v>
      </c>
      <c r="Q124" s="15">
        <v>2030</v>
      </c>
      <c r="R124" s="15">
        <v>2031</v>
      </c>
      <c r="S124" s="15">
        <v>2032</v>
      </c>
      <c r="T124" s="15">
        <v>2033</v>
      </c>
      <c r="U124" s="15">
        <v>2034</v>
      </c>
      <c r="V124" s="15">
        <v>2035</v>
      </c>
      <c r="W124" s="15">
        <v>2036</v>
      </c>
      <c r="X124" s="15">
        <v>2037</v>
      </c>
      <c r="Y124" s="15">
        <v>2038</v>
      </c>
      <c r="Z124" s="15">
        <v>2039</v>
      </c>
      <c r="AA124" s="15">
        <v>2040</v>
      </c>
      <c r="AB124" s="292"/>
      <c r="AC124"/>
      <c r="AD124"/>
      <c r="AE124"/>
      <c r="AF124"/>
    </row>
    <row r="125" spans="1:32" s="27" customFormat="1">
      <c r="A125" s="366" t="s">
        <v>616</v>
      </c>
      <c r="B125" s="366" t="s">
        <v>15</v>
      </c>
      <c r="C125" s="230" t="s">
        <v>47</v>
      </c>
      <c r="D125" s="230" t="s">
        <v>47</v>
      </c>
      <c r="E125" s="230" t="s">
        <v>47</v>
      </c>
      <c r="F125" s="230" t="s">
        <v>47</v>
      </c>
      <c r="G125" s="21">
        <f t="shared" ref="G125:AA125" si="41">G127+G130</f>
        <v>32.71817131222943</v>
      </c>
      <c r="H125" s="21">
        <f t="shared" si="41"/>
        <v>78.873513814773091</v>
      </c>
      <c r="I125" s="21">
        <f t="shared" si="41"/>
        <v>177.63939177547792</v>
      </c>
      <c r="J125" s="21">
        <f t="shared" si="41"/>
        <v>319.21088144486271</v>
      </c>
      <c r="K125" s="21">
        <f t="shared" si="41"/>
        <v>592.57147264582693</v>
      </c>
      <c r="L125" s="21">
        <f t="shared" si="41"/>
        <v>829.77962965486972</v>
      </c>
      <c r="M125" s="21">
        <f t="shared" si="41"/>
        <v>1136.1687329539216</v>
      </c>
      <c r="N125" s="21">
        <f t="shared" si="41"/>
        <v>1529.5478612944573</v>
      </c>
      <c r="O125" s="21">
        <f t="shared" si="41"/>
        <v>2032.0122008819299</v>
      </c>
      <c r="P125" s="21">
        <f t="shared" si="41"/>
        <v>2670.9319574911715</v>
      </c>
      <c r="Q125" s="21">
        <f t="shared" si="41"/>
        <v>2910.4114953646231</v>
      </c>
      <c r="R125" s="21">
        <f t="shared" si="41"/>
        <v>3171.3631073952733</v>
      </c>
      <c r="S125" s="21">
        <f t="shared" si="41"/>
        <v>3455.7120101285791</v>
      </c>
      <c r="T125" s="21">
        <f t="shared" si="41"/>
        <v>3765.5560377490647</v>
      </c>
      <c r="U125" s="21">
        <f t="shared" si="41"/>
        <v>4103.1811192220393</v>
      </c>
      <c r="V125" s="21">
        <f t="shared" si="41"/>
        <v>4278.5629673363446</v>
      </c>
      <c r="W125" s="21">
        <f t="shared" si="41"/>
        <v>4461.4411437272374</v>
      </c>
      <c r="X125" s="21">
        <f t="shared" si="41"/>
        <v>4652.13606318242</v>
      </c>
      <c r="Y125" s="21">
        <f t="shared" si="41"/>
        <v>4850.9818359458777</v>
      </c>
      <c r="Z125" s="21">
        <f t="shared" si="41"/>
        <v>5058.3268531013491</v>
      </c>
      <c r="AA125" s="21">
        <f t="shared" si="41"/>
        <v>4958.0623331581937</v>
      </c>
      <c r="AC125"/>
      <c r="AD125"/>
      <c r="AE125"/>
      <c r="AF125"/>
    </row>
    <row r="126" spans="1:32" s="27" customFormat="1">
      <c r="A126" s="366" t="s">
        <v>198</v>
      </c>
      <c r="B126" s="366" t="s">
        <v>7</v>
      </c>
      <c r="C126" s="230" t="s">
        <v>47</v>
      </c>
      <c r="D126" s="230" t="s">
        <v>47</v>
      </c>
      <c r="E126" s="230" t="s">
        <v>47</v>
      </c>
      <c r="F126" s="230" t="s">
        <v>47</v>
      </c>
      <c r="G126" s="73">
        <f>100*G10/'Main calculations'!G229</f>
        <v>1.7787473651579098E-3</v>
      </c>
      <c r="H126" s="72">
        <f>100*H10/'Main calculations'!H229</f>
        <v>4.1998201677339543E-3</v>
      </c>
      <c r="I126" s="72">
        <f>100*I10/'Main calculations'!I229</f>
        <v>9.2643091935307835E-3</v>
      </c>
      <c r="J126" s="72">
        <f>100*J10/'Main calculations'!J229</f>
        <v>1.6305184180614173E-2</v>
      </c>
      <c r="K126" s="72">
        <f>100*K10/'Main calculations'!K229</f>
        <v>2.9645789419298501E-2</v>
      </c>
      <c r="L126" s="72">
        <f>100*L10/'Main calculations'!L229</f>
        <v>4.0659244663548484E-2</v>
      </c>
      <c r="M126" s="72">
        <f>100*M10/'Main calculations'!M229</f>
        <v>5.4527254194517046E-2</v>
      </c>
      <c r="N126" s="72">
        <f>100*N10/'Main calculations'!N229</f>
        <v>7.1896562123637306E-2</v>
      </c>
      <c r="O126" s="72">
        <f>100*O10/'Main calculations'!O229</f>
        <v>9.3550394297347267E-2</v>
      </c>
      <c r="P126" s="72">
        <f>100*P10/'Main calculations'!P229</f>
        <v>0.12043601951590022</v>
      </c>
      <c r="Q126" s="72">
        <f>100*Q10/'Main calculations'!Q229</f>
        <v>0.12853524329717264</v>
      </c>
      <c r="R126" s="38">
        <f>100*R10/'Main calculations'!R229</f>
        <v>0.137179133251595</v>
      </c>
      <c r="S126" s="38">
        <f>100*S10/'Main calculations'!S229</f>
        <v>0.14640431773370899</v>
      </c>
      <c r="T126" s="38">
        <f>100*T10/'Main calculations'!T229</f>
        <v>0.156249888324933</v>
      </c>
      <c r="U126" s="38">
        <f>100*U10/'Main calculations'!U229</f>
        <v>0.16675756548355403</v>
      </c>
      <c r="V126" s="38">
        <f>100*V10/'Main calculations'!V229</f>
        <v>0.17030878250305093</v>
      </c>
      <c r="W126" s="38">
        <f>100*W10/'Main calculations'!W229</f>
        <v>0.17393562513079525</v>
      </c>
      <c r="X126" s="38">
        <f>100*X10/'Main calculations'!X229</f>
        <v>0.17763970386611486</v>
      </c>
      <c r="Y126" s="38">
        <f>100*Y10/'Main calculations'!Y229</f>
        <v>0.18142266350502814</v>
      </c>
      <c r="Z126" s="38">
        <f>100*Z10/'Main calculations'!Z229</f>
        <v>0.1852861838706156</v>
      </c>
      <c r="AA126" s="38">
        <f>100*AA10/'Main calculations'!AA229</f>
        <v>0.17787806172540871</v>
      </c>
      <c r="AC126"/>
      <c r="AD126"/>
      <c r="AE126"/>
      <c r="AF126"/>
    </row>
    <row r="127" spans="1:32" s="27" customFormat="1">
      <c r="A127" s="366" t="s">
        <v>621</v>
      </c>
      <c r="B127" s="366" t="s">
        <v>15</v>
      </c>
      <c r="C127" s="230" t="s">
        <v>47</v>
      </c>
      <c r="D127" s="230" t="s">
        <v>47</v>
      </c>
      <c r="E127" s="230" t="s">
        <v>47</v>
      </c>
      <c r="F127" s="230" t="s">
        <v>47</v>
      </c>
      <c r="G127" s="21">
        <f>G128/100*'Main calculations'!G229</f>
        <v>25.531152018907086</v>
      </c>
      <c r="H127" s="21">
        <f>H128/100*'Main calculations'!H229</f>
        <v>61.547806332245877</v>
      </c>
      <c r="I127" s="21">
        <f>I128/100*'Main calculations'!I229</f>
        <v>138.61833146740375</v>
      </c>
      <c r="J127" s="21">
        <f>J128/100*'Main calculations'!J229</f>
        <v>249.09159691366577</v>
      </c>
      <c r="K127" s="21">
        <f>K128/100*'Main calculations'!K229</f>
        <v>462.40458263427774</v>
      </c>
      <c r="L127" s="21">
        <f>L128/100*'Main calculations'!L229</f>
        <v>647.50653894254367</v>
      </c>
      <c r="M127" s="21">
        <f>M128/100*'Main calculations'!M229</f>
        <v>886.59284662810887</v>
      </c>
      <c r="N127" s="21">
        <f>N128/100*'Main calculations'!N229</f>
        <v>1193.560562851703</v>
      </c>
      <c r="O127" s="21">
        <f>O128/100*'Main calculations'!O229</f>
        <v>1585.6513467670152</v>
      </c>
      <c r="P127" s="21">
        <f>P128/100*'Main calculations'!P229</f>
        <v>2084.2231427945153</v>
      </c>
      <c r="Q127" s="21">
        <f>Q128/100*'Main calculations'!Q229</f>
        <v>2271.097538325886</v>
      </c>
      <c r="R127" s="21">
        <f>R128/100*'Main calculations'!R229</f>
        <v>2474.7273565316218</v>
      </c>
      <c r="S127" s="21">
        <f>S128/100*'Main calculations'!S229</f>
        <v>2696.6149123125861</v>
      </c>
      <c r="T127" s="21">
        <f>T128/100*'Main calculations'!T229</f>
        <v>2938.3972202489776</v>
      </c>
      <c r="U127" s="21">
        <f>U128/100*'Main calculations'!U229</f>
        <v>3201.8580719641354</v>
      </c>
      <c r="V127" s="21">
        <f>V128/100*'Main calculations'!V229</f>
        <v>3338.7147618699528</v>
      </c>
      <c r="W127" s="21">
        <f>W128/100*'Main calculations'!W229</f>
        <v>3481.421103181613</v>
      </c>
      <c r="X127" s="21">
        <f>X128/100*'Main calculations'!X229</f>
        <v>3630.2271269468747</v>
      </c>
      <c r="Y127" s="21">
        <f>Y128/100*'Main calculations'!Y229</f>
        <v>3785.3935512648286</v>
      </c>
      <c r="Z127" s="21">
        <f>Z128/100*'Main calculations'!Z229</f>
        <v>3947.1922380814276</v>
      </c>
      <c r="AA127" s="21">
        <f>AA128/100*'Main calculations'!AA229</f>
        <v>3868.9522693392073</v>
      </c>
      <c r="AC127"/>
      <c r="AD127"/>
      <c r="AE127"/>
      <c r="AF127"/>
    </row>
    <row r="128" spans="1:32" s="27" customFormat="1">
      <c r="A128" s="366" t="s">
        <v>859</v>
      </c>
      <c r="B128" s="366" t="s">
        <v>7</v>
      </c>
      <c r="C128" s="230" t="s">
        <v>47</v>
      </c>
      <c r="D128" s="230" t="s">
        <v>47</v>
      </c>
      <c r="E128" s="230" t="s">
        <v>47</v>
      </c>
      <c r="F128" s="230" t="s">
        <v>47</v>
      </c>
      <c r="G128" s="160">
        <f t="shared" ref="G128:AA128" si="42">G129*G59</f>
        <v>1.3880197933343035E-3</v>
      </c>
      <c r="H128" s="160">
        <f t="shared" si="42"/>
        <v>3.2772689564837722E-3</v>
      </c>
      <c r="I128" s="160">
        <f t="shared" si="42"/>
        <v>7.2292697569494987E-3</v>
      </c>
      <c r="J128" s="160">
        <f t="shared" si="42"/>
        <v>1.2723514772231116E-2</v>
      </c>
      <c r="K128" s="160">
        <f t="shared" si="42"/>
        <v>2.3133663222238393E-2</v>
      </c>
      <c r="L128" s="160">
        <f t="shared" si="42"/>
        <v>3.1727853814708142E-2</v>
      </c>
      <c r="M128" s="160">
        <f t="shared" si="42"/>
        <v>4.2549554580192779E-2</v>
      </c>
      <c r="N128" s="160">
        <f t="shared" si="42"/>
        <v>5.6103442936899978E-2</v>
      </c>
      <c r="O128" s="160">
        <f t="shared" si="42"/>
        <v>7.3000697852007232E-2</v>
      </c>
      <c r="P128" s="160">
        <f t="shared" si="42"/>
        <v>9.3980506840343495E-2</v>
      </c>
      <c r="Q128" s="160">
        <f t="shared" si="42"/>
        <v>0.10030061903798099</v>
      </c>
      <c r="R128" s="160">
        <f t="shared" si="42"/>
        <v>0.10704575361029652</v>
      </c>
      <c r="S128" s="160">
        <f t="shared" si="42"/>
        <v>0.11424449296426765</v>
      </c>
      <c r="T128" s="160">
        <f t="shared" si="42"/>
        <v>0.12192734165035739</v>
      </c>
      <c r="U128" s="160">
        <f t="shared" si="42"/>
        <v>0.13012685562509094</v>
      </c>
      <c r="V128" s="160">
        <f t="shared" si="42"/>
        <v>0.13289799649087078</v>
      </c>
      <c r="W128" s="160">
        <f t="shared" si="42"/>
        <v>0.13572815070682423</v>
      </c>
      <c r="X128" s="160">
        <f t="shared" si="42"/>
        <v>0.13861857500282079</v>
      </c>
      <c r="Y128" s="160">
        <f t="shared" si="42"/>
        <v>0.14157055287165676</v>
      </c>
      <c r="Z128" s="160">
        <f t="shared" si="42"/>
        <v>0.14458539513898994</v>
      </c>
      <c r="AA128" s="160">
        <f t="shared" si="42"/>
        <v>0.13880457411268726</v>
      </c>
      <c r="AC128"/>
      <c r="AD128"/>
      <c r="AE128"/>
      <c r="AF128"/>
    </row>
    <row r="129" spans="1:32" s="27" customFormat="1">
      <c r="A129" s="366" t="s">
        <v>860</v>
      </c>
      <c r="B129" s="366"/>
      <c r="C129" s="230" t="s">
        <v>47</v>
      </c>
      <c r="D129" s="230" t="s">
        <v>47</v>
      </c>
      <c r="E129" s="230" t="s">
        <v>47</v>
      </c>
      <c r="F129" s="230" t="s">
        <v>47</v>
      </c>
      <c r="G129" s="187">
        <f t="shared" ref="G129:AA129" si="43">G137*$C$143+G138*$C$144+G139*$C$145</f>
        <v>3.0844884296317855E-4</v>
      </c>
      <c r="H129" s="160">
        <f t="shared" si="43"/>
        <v>3.8556105370397321E-4</v>
      </c>
      <c r="I129" s="160">
        <f t="shared" si="43"/>
        <v>5.7834158055595987E-4</v>
      </c>
      <c r="J129" s="160">
        <f t="shared" si="43"/>
        <v>7.7112210740794642E-4</v>
      </c>
      <c r="K129" s="160">
        <f t="shared" si="43"/>
        <v>1.1566831611119197E-3</v>
      </c>
      <c r="L129" s="160">
        <f t="shared" si="43"/>
        <v>1.3501214389237506E-3</v>
      </c>
      <c r="M129" s="160">
        <f t="shared" si="43"/>
        <v>1.5759094288960288E-3</v>
      </c>
      <c r="N129" s="160">
        <f t="shared" si="43"/>
        <v>1.8394571454721305E-3</v>
      </c>
      <c r="O129" s="160">
        <f t="shared" si="43"/>
        <v>2.1470793485884486E-3</v>
      </c>
      <c r="P129" s="160">
        <f t="shared" si="43"/>
        <v>2.5061468490758265E-3</v>
      </c>
      <c r="Q129" s="160">
        <f t="shared" si="43"/>
        <v>2.6746831743461597E-3</v>
      </c>
      <c r="R129" s="160">
        <f t="shared" si="43"/>
        <v>2.8545534296079071E-3</v>
      </c>
      <c r="S129" s="160">
        <f t="shared" si="43"/>
        <v>3.0465198123804708E-3</v>
      </c>
      <c r="T129" s="160">
        <f t="shared" si="43"/>
        <v>3.2513957773428635E-3</v>
      </c>
      <c r="U129" s="160">
        <f t="shared" si="43"/>
        <v>3.4700494833357584E-3</v>
      </c>
      <c r="V129" s="160">
        <f t="shared" si="43"/>
        <v>3.5439465730898873E-3</v>
      </c>
      <c r="W129" s="160">
        <f t="shared" si="43"/>
        <v>3.6194173521819791E-3</v>
      </c>
      <c r="X129" s="160">
        <f t="shared" si="43"/>
        <v>3.6964953334085544E-3</v>
      </c>
      <c r="Y129" s="160">
        <f t="shared" si="43"/>
        <v>3.7752147432441804E-3</v>
      </c>
      <c r="Z129" s="160">
        <f t="shared" si="43"/>
        <v>3.8556105370397319E-3</v>
      </c>
      <c r="AA129" s="160">
        <f t="shared" si="43"/>
        <v>3.9377184145443197E-3</v>
      </c>
      <c r="AC129"/>
      <c r="AD129"/>
      <c r="AE129"/>
      <c r="AF129"/>
    </row>
    <row r="130" spans="1:32" s="27" customFormat="1">
      <c r="A130" s="366" t="s">
        <v>619</v>
      </c>
      <c r="B130" s="366" t="s">
        <v>15</v>
      </c>
      <c r="C130" s="230" t="s">
        <v>47</v>
      </c>
      <c r="D130" s="230" t="s">
        <v>47</v>
      </c>
      <c r="E130" s="230" t="s">
        <v>47</v>
      </c>
      <c r="F130" s="230" t="s">
        <v>47</v>
      </c>
      <c r="G130" s="35">
        <f>G127*'Sensitivity calculations'!$C$131</f>
        <v>7.1870192933223445</v>
      </c>
      <c r="H130" s="35">
        <f>H127*'Sensitivity calculations'!$C$131</f>
        <v>17.325707482527214</v>
      </c>
      <c r="I130" s="35">
        <f>I127*'Sensitivity calculations'!$C$131</f>
        <v>39.021060308074155</v>
      </c>
      <c r="J130" s="35">
        <f>J127*'Sensitivity calculations'!$C$131</f>
        <v>70.119284531196911</v>
      </c>
      <c r="K130" s="35">
        <f>K127*'Sensitivity calculations'!$C$131</f>
        <v>130.16689001154919</v>
      </c>
      <c r="L130" s="35">
        <f>L127*'Sensitivity calculations'!$C$131</f>
        <v>182.27309071232602</v>
      </c>
      <c r="M130" s="35">
        <f>M127*'Sensitivity calculations'!$C$131</f>
        <v>249.57588632581263</v>
      </c>
      <c r="N130" s="35">
        <f>N127*'Sensitivity calculations'!$C$131</f>
        <v>335.98729844275437</v>
      </c>
      <c r="O130" s="35">
        <f>O127*'Sensitivity calculations'!$C$131</f>
        <v>446.36085411491473</v>
      </c>
      <c r="P130" s="35">
        <f>P127*'Sensitivity calculations'!$C$131</f>
        <v>586.70881469665596</v>
      </c>
      <c r="Q130" s="35">
        <f>Q127*'Sensitivity calculations'!$C$131</f>
        <v>639.31395703873682</v>
      </c>
      <c r="R130" s="35">
        <f>R127*'Sensitivity calculations'!$C$131</f>
        <v>696.63575086365142</v>
      </c>
      <c r="S130" s="35">
        <f>S127*'Sensitivity calculations'!$C$131</f>
        <v>759.09709781599292</v>
      </c>
      <c r="T130" s="35">
        <f>T127*'Sensitivity calculations'!$C$131</f>
        <v>827.15881750008714</v>
      </c>
      <c r="U130" s="35">
        <f>U127*'Sensitivity calculations'!$C$131</f>
        <v>901.32304725790402</v>
      </c>
      <c r="V130" s="35">
        <f>V127*'Sensitivity calculations'!$C$131</f>
        <v>939.84820546639162</v>
      </c>
      <c r="W130" s="35">
        <f>W127*'Sensitivity calculations'!$C$131</f>
        <v>980.02004054562394</v>
      </c>
      <c r="X130" s="35">
        <f>X127*'Sensitivity calculations'!$C$131</f>
        <v>1021.9089362355452</v>
      </c>
      <c r="Y130" s="35">
        <f>Y127*'Sensitivity calculations'!$C$131</f>
        <v>1065.5882846810491</v>
      </c>
      <c r="Z130" s="35">
        <f>Z127*'Sensitivity calculations'!$C$131</f>
        <v>1111.1346150199217</v>
      </c>
      <c r="AA130" s="35">
        <f>AA127*'Sensitivity calculations'!$C$131</f>
        <v>1089.1100638189866</v>
      </c>
      <c r="AC130"/>
      <c r="AD130"/>
      <c r="AE130"/>
      <c r="AF130"/>
    </row>
    <row r="131" spans="1:32" s="27" customFormat="1">
      <c r="A131" s="27" t="s">
        <v>861</v>
      </c>
      <c r="B131" s="366"/>
      <c r="C131" s="72">
        <f>C133*C132/100</f>
        <v>0.28149999999999997</v>
      </c>
      <c r="AC131"/>
      <c r="AD131"/>
      <c r="AE131"/>
      <c r="AF131"/>
    </row>
    <row r="132" spans="1:32" s="27" customFormat="1">
      <c r="A132" s="27" t="s">
        <v>862</v>
      </c>
      <c r="B132" s="366" t="s">
        <v>7</v>
      </c>
      <c r="C132" s="53">
        <v>56.3</v>
      </c>
      <c r="AC132"/>
      <c r="AD132"/>
      <c r="AE132"/>
      <c r="AF132"/>
    </row>
    <row r="133" spans="1:32" s="27" customFormat="1">
      <c r="A133" s="39" t="s">
        <v>863</v>
      </c>
      <c r="B133" s="241" t="s">
        <v>6</v>
      </c>
      <c r="C133" s="39">
        <v>0.5</v>
      </c>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C133"/>
      <c r="AD133"/>
      <c r="AE133"/>
      <c r="AF133"/>
    </row>
    <row r="134" spans="1:32" s="27" customFormat="1">
      <c r="B134" s="366"/>
      <c r="D134" s="219"/>
      <c r="E134" s="219"/>
      <c r="F134" s="219"/>
      <c r="P134" s="222"/>
      <c r="AC134"/>
      <c r="AD134"/>
      <c r="AE134"/>
      <c r="AF134"/>
    </row>
    <row r="135" spans="1:32" s="27" customFormat="1">
      <c r="A135" s="19" t="s">
        <v>694</v>
      </c>
      <c r="B135" s="366"/>
      <c r="D135" s="219"/>
      <c r="E135" s="219"/>
      <c r="F135" s="219"/>
      <c r="P135" s="222"/>
      <c r="AC135"/>
      <c r="AD135"/>
      <c r="AE135"/>
      <c r="AF135"/>
    </row>
    <row r="136" spans="1:32" s="27" customFormat="1">
      <c r="A136" s="26" t="s">
        <v>693</v>
      </c>
      <c r="B136" s="366"/>
      <c r="D136" s="219"/>
      <c r="E136" s="219"/>
      <c r="F136" s="219"/>
      <c r="P136" s="222"/>
      <c r="AC136"/>
      <c r="AD136"/>
      <c r="AE136"/>
      <c r="AF136"/>
    </row>
    <row r="137" spans="1:32" s="27" customFormat="1">
      <c r="A137" s="27" t="s">
        <v>147</v>
      </c>
      <c r="B137" s="366"/>
      <c r="D137" s="54"/>
      <c r="E137" s="54"/>
      <c r="F137" s="54"/>
      <c r="G137" s="222">
        <f t="shared" ref="G137:Y137" si="44">G138*$Z$137/$Z$138</f>
        <v>6.3999999999999997E-5</v>
      </c>
      <c r="H137" s="222">
        <f t="shared" si="44"/>
        <v>8.0000000000000007E-5</v>
      </c>
      <c r="I137" s="222">
        <f t="shared" si="44"/>
        <v>1.2000000000000002E-4</v>
      </c>
      <c r="J137" s="222">
        <f t="shared" si="44"/>
        <v>1.6000000000000001E-4</v>
      </c>
      <c r="K137" s="222">
        <f t="shared" si="44"/>
        <v>2.4000000000000003E-4</v>
      </c>
      <c r="L137" s="222">
        <f t="shared" si="44"/>
        <v>2.8013647663912639E-4</v>
      </c>
      <c r="M137" s="222">
        <f t="shared" si="44"/>
        <v>3.2698518976576578E-4</v>
      </c>
      <c r="N137" s="222">
        <f t="shared" si="44"/>
        <v>3.8166866239232403E-4</v>
      </c>
      <c r="O137" s="222">
        <f t="shared" si="44"/>
        <v>4.4549714302564118E-4</v>
      </c>
      <c r="P137" s="222">
        <f t="shared" si="44"/>
        <v>5.2000000000000006E-4</v>
      </c>
      <c r="Q137" s="222">
        <f t="shared" si="44"/>
        <v>5.5496957457736029E-4</v>
      </c>
      <c r="R137" s="222">
        <f t="shared" si="44"/>
        <v>5.9229082443572345E-4</v>
      </c>
      <c r="S137" s="222">
        <f t="shared" si="44"/>
        <v>6.3212189781378352E-4</v>
      </c>
      <c r="T137" s="222">
        <f t="shared" si="44"/>
        <v>6.7463157828990194E-4</v>
      </c>
      <c r="U137" s="222">
        <f t="shared" si="44"/>
        <v>7.1999999999999994E-4</v>
      </c>
      <c r="V137" s="222">
        <f t="shared" si="44"/>
        <v>7.3533289507209717E-4</v>
      </c>
      <c r="W137" s="222">
        <f t="shared" si="44"/>
        <v>7.5099231468765562E-4</v>
      </c>
      <c r="X137" s="222">
        <f t="shared" si="44"/>
        <v>7.6698521241134619E-4</v>
      </c>
      <c r="Y137" s="222">
        <f t="shared" si="44"/>
        <v>7.8331868988878149E-4</v>
      </c>
      <c r="Z137" s="223">
        <v>8.0000000000000004E-4</v>
      </c>
      <c r="AA137" s="222">
        <f>AA138*$Z$137/$Z$138</f>
        <v>8.1703655008010824E-4</v>
      </c>
      <c r="AC137"/>
      <c r="AD137"/>
      <c r="AE137"/>
      <c r="AF137"/>
    </row>
    <row r="138" spans="1:32" s="27" customFormat="1">
      <c r="A138" s="27" t="s">
        <v>148</v>
      </c>
      <c r="B138" s="366"/>
      <c r="D138" s="54"/>
      <c r="E138" s="54"/>
      <c r="F138" s="54"/>
      <c r="G138" s="27">
        <v>8.0000000000000004E-4</v>
      </c>
      <c r="H138" s="27">
        <v>1E-3</v>
      </c>
      <c r="I138" s="27">
        <v>1.5E-3</v>
      </c>
      <c r="J138" s="27">
        <v>2E-3</v>
      </c>
      <c r="K138" s="27">
        <v>3.0000000000000001E-3</v>
      </c>
      <c r="L138" s="222">
        <f>K138*(($P138/$K138)^(1/5))</f>
        <v>3.5017059579890795E-3</v>
      </c>
      <c r="M138" s="222">
        <f>L138*(($P138/$K138)^(1/5))</f>
        <v>4.0873148720720724E-3</v>
      </c>
      <c r="N138" s="222">
        <f>M138*(($P138/$K138)^(1/5))</f>
        <v>4.7708582799040498E-3</v>
      </c>
      <c r="O138" s="222">
        <f>N138*(($P138/$K138)^(1/5))</f>
        <v>5.5687142878205146E-3</v>
      </c>
      <c r="P138" s="27">
        <v>6.5000000000000006E-3</v>
      </c>
      <c r="Q138" s="222">
        <f>P138*(($U138/$P138)^(1/5))</f>
        <v>6.9371196822170036E-3</v>
      </c>
      <c r="R138" s="222">
        <f>Q138*(($U138/$P138)^(1/5))</f>
        <v>7.4036353054465435E-3</v>
      </c>
      <c r="S138" s="222">
        <f>R138*(($U138/$P138)^(1/5))</f>
        <v>7.9015237226722941E-3</v>
      </c>
      <c r="T138" s="222">
        <f>S138*(($U138/$P138)^(1/5))</f>
        <v>8.432894728623774E-3</v>
      </c>
      <c r="U138" s="222">
        <v>8.9999999999999993E-3</v>
      </c>
      <c r="V138" s="222">
        <f>U138*(($Z138/$U138)^(1/5))</f>
        <v>9.191661188401215E-3</v>
      </c>
      <c r="W138" s="222">
        <f>V138*(($Z138/$U138)^(1/5))</f>
        <v>9.3874039335956946E-3</v>
      </c>
      <c r="X138" s="222">
        <f>W138*(($Z138/$U138)^(1/5))</f>
        <v>9.5873151551418272E-3</v>
      </c>
      <c r="Y138" s="222">
        <f>X138*(($Z138/$U138)^(1/5))</f>
        <v>9.7914836236097681E-3</v>
      </c>
      <c r="Z138" s="222">
        <v>0.01</v>
      </c>
      <c r="AA138" s="222">
        <f>Z138/Y138*Z138</f>
        <v>1.0212956876001352E-2</v>
      </c>
      <c r="AC138"/>
      <c r="AD138"/>
      <c r="AE138"/>
      <c r="AF138"/>
    </row>
    <row r="139" spans="1:32" s="27" customFormat="1">
      <c r="A139" s="27" t="s">
        <v>87</v>
      </c>
      <c r="B139" s="366"/>
      <c r="D139" s="54"/>
      <c r="E139" s="54"/>
      <c r="F139" s="54"/>
      <c r="G139" s="222">
        <f t="shared" ref="G139:AA139" si="45">G137</f>
        <v>6.3999999999999997E-5</v>
      </c>
      <c r="H139" s="222">
        <f t="shared" si="45"/>
        <v>8.0000000000000007E-5</v>
      </c>
      <c r="I139" s="222">
        <f t="shared" si="45"/>
        <v>1.2000000000000002E-4</v>
      </c>
      <c r="J139" s="222">
        <f t="shared" si="45"/>
        <v>1.6000000000000001E-4</v>
      </c>
      <c r="K139" s="222">
        <f t="shared" si="45"/>
        <v>2.4000000000000003E-4</v>
      </c>
      <c r="L139" s="222">
        <f t="shared" si="45"/>
        <v>2.8013647663912639E-4</v>
      </c>
      <c r="M139" s="222">
        <f t="shared" si="45"/>
        <v>3.2698518976576578E-4</v>
      </c>
      <c r="N139" s="222">
        <f t="shared" si="45"/>
        <v>3.8166866239232403E-4</v>
      </c>
      <c r="O139" s="222">
        <f t="shared" si="45"/>
        <v>4.4549714302564118E-4</v>
      </c>
      <c r="P139" s="222">
        <f t="shared" si="45"/>
        <v>5.2000000000000006E-4</v>
      </c>
      <c r="Q139" s="222">
        <f t="shared" si="45"/>
        <v>5.5496957457736029E-4</v>
      </c>
      <c r="R139" s="222">
        <f t="shared" si="45"/>
        <v>5.9229082443572345E-4</v>
      </c>
      <c r="S139" s="222">
        <f t="shared" si="45"/>
        <v>6.3212189781378352E-4</v>
      </c>
      <c r="T139" s="222">
        <f t="shared" si="45"/>
        <v>6.7463157828990194E-4</v>
      </c>
      <c r="U139" s="222">
        <f t="shared" si="45"/>
        <v>7.1999999999999994E-4</v>
      </c>
      <c r="V139" s="222">
        <f t="shared" si="45"/>
        <v>7.3533289507209717E-4</v>
      </c>
      <c r="W139" s="222">
        <f t="shared" si="45"/>
        <v>7.5099231468765562E-4</v>
      </c>
      <c r="X139" s="222">
        <f t="shared" si="45"/>
        <v>7.6698521241134619E-4</v>
      </c>
      <c r="Y139" s="222">
        <f t="shared" si="45"/>
        <v>7.8331868988878149E-4</v>
      </c>
      <c r="Z139" s="222">
        <f t="shared" si="45"/>
        <v>8.0000000000000004E-4</v>
      </c>
      <c r="AA139" s="222">
        <f t="shared" si="45"/>
        <v>8.1703655008010824E-4</v>
      </c>
      <c r="AC139"/>
      <c r="AD139"/>
      <c r="AE139"/>
      <c r="AF139"/>
    </row>
    <row r="140" spans="1:32" s="27" customFormat="1">
      <c r="A140" s="27" t="s">
        <v>86</v>
      </c>
      <c r="B140" s="366"/>
      <c r="D140" s="54"/>
      <c r="E140" s="54"/>
      <c r="F140" s="54"/>
      <c r="G140" s="27">
        <v>0</v>
      </c>
      <c r="H140" s="27">
        <v>0</v>
      </c>
      <c r="I140" s="27">
        <v>0</v>
      </c>
      <c r="J140" s="27">
        <v>0</v>
      </c>
      <c r="K140" s="27">
        <v>0</v>
      </c>
      <c r="L140" s="27">
        <v>0</v>
      </c>
      <c r="M140" s="27">
        <v>0</v>
      </c>
      <c r="N140" s="27">
        <v>0</v>
      </c>
      <c r="O140" s="27">
        <v>0</v>
      </c>
      <c r="P140" s="27">
        <v>0</v>
      </c>
      <c r="Q140" s="27">
        <v>0</v>
      </c>
      <c r="R140" s="27">
        <v>0</v>
      </c>
      <c r="S140" s="27">
        <v>0</v>
      </c>
      <c r="T140" s="27">
        <v>0</v>
      </c>
      <c r="U140" s="27">
        <v>0</v>
      </c>
      <c r="V140" s="27">
        <v>0</v>
      </c>
      <c r="W140" s="27">
        <v>0</v>
      </c>
      <c r="X140" s="27">
        <v>0</v>
      </c>
      <c r="Y140" s="27">
        <v>0</v>
      </c>
      <c r="Z140" s="27">
        <v>0</v>
      </c>
      <c r="AA140" s="27">
        <v>0</v>
      </c>
      <c r="AC140"/>
      <c r="AD140"/>
      <c r="AE140"/>
      <c r="AF140"/>
    </row>
    <row r="141" spans="1:32" s="27" customFormat="1">
      <c r="B141" s="366"/>
      <c r="D141" s="54"/>
      <c r="E141" s="54"/>
      <c r="F141" s="54"/>
      <c r="AC141"/>
      <c r="AD141"/>
      <c r="AE141"/>
      <c r="AF141"/>
    </row>
    <row r="142" spans="1:32" s="27" customFormat="1">
      <c r="A142" s="251" t="s">
        <v>211</v>
      </c>
      <c r="B142" s="366"/>
      <c r="D142" s="219"/>
      <c r="E142" s="219"/>
      <c r="F142" s="219"/>
      <c r="P142" s="222"/>
      <c r="AC142"/>
      <c r="AD142"/>
      <c r="AE142"/>
      <c r="AF142"/>
    </row>
    <row r="143" spans="1:32" s="27" customFormat="1">
      <c r="A143" s="27" t="s">
        <v>147</v>
      </c>
      <c r="B143" s="366"/>
      <c r="C143" s="54">
        <f>SUM('ABS Health Survey'!B14:D15)/'Main calculations'!$C$226</f>
        <v>0.33081065347111049</v>
      </c>
      <c r="D143" s="54"/>
      <c r="E143" s="54"/>
      <c r="F143" s="54"/>
      <c r="K143" s="222"/>
      <c r="L143" s="222"/>
      <c r="M143" s="222"/>
      <c r="N143" s="222"/>
      <c r="O143" s="222"/>
      <c r="Q143" s="222"/>
      <c r="R143" s="222"/>
      <c r="S143" s="222"/>
      <c r="T143" s="222"/>
      <c r="U143" s="222"/>
      <c r="V143" s="222"/>
      <c r="W143" s="222"/>
      <c r="X143" s="222"/>
      <c r="Y143" s="222"/>
      <c r="Z143" s="223"/>
      <c r="AA143" s="222"/>
      <c r="AC143"/>
      <c r="AD143"/>
      <c r="AE143"/>
      <c r="AF143"/>
    </row>
    <row r="144" spans="1:32" s="27" customFormat="1">
      <c r="A144" s="27" t="s">
        <v>148</v>
      </c>
      <c r="B144" s="366"/>
      <c r="C144" s="54">
        <f>SUM('ABS Health Survey'!E14:F15)/'Main calculations'!$C$226</f>
        <v>0.34510988211322952</v>
      </c>
      <c r="D144" s="54"/>
      <c r="E144" s="54"/>
      <c r="F144" s="54"/>
      <c r="L144" s="222"/>
      <c r="M144" s="222"/>
      <c r="N144" s="222"/>
      <c r="O144" s="222"/>
      <c r="Q144" s="222"/>
      <c r="R144" s="222"/>
      <c r="S144" s="222"/>
      <c r="T144" s="222"/>
      <c r="U144" s="222"/>
      <c r="V144" s="222"/>
      <c r="W144" s="222"/>
      <c r="X144" s="222"/>
      <c r="Y144" s="222"/>
      <c r="Z144" s="222"/>
      <c r="AA144" s="222"/>
      <c r="AC144"/>
      <c r="AD144"/>
      <c r="AE144"/>
      <c r="AF144"/>
    </row>
    <row r="145" spans="1:32" s="27" customFormat="1">
      <c r="A145" s="27" t="s">
        <v>87</v>
      </c>
      <c r="B145" s="366"/>
      <c r="C145" s="54">
        <f>SUM('ABS Health Survey'!G14:G15)/'Main calculations'!$C$226</f>
        <v>0.17482899141318586</v>
      </c>
      <c r="D145" s="54"/>
      <c r="E145" s="54"/>
      <c r="F145" s="54"/>
      <c r="L145" s="222"/>
      <c r="M145" s="222"/>
      <c r="N145" s="222"/>
      <c r="O145" s="222"/>
      <c r="Q145" s="222"/>
      <c r="R145" s="222"/>
      <c r="S145" s="222"/>
      <c r="T145" s="222"/>
      <c r="U145" s="222"/>
      <c r="V145" s="222"/>
      <c r="W145" s="222"/>
      <c r="X145" s="222"/>
      <c r="Y145" s="222"/>
      <c r="AA145" s="222"/>
      <c r="AC145"/>
      <c r="AD145"/>
      <c r="AE145"/>
      <c r="AF145"/>
    </row>
    <row r="146" spans="1:32" s="27" customFormat="1" ht="15" thickBot="1">
      <c r="A146" s="225" t="s">
        <v>86</v>
      </c>
      <c r="B146" s="368"/>
      <c r="C146" s="252">
        <f>SUM('ABS Health Survey'!H14:H15)/'Main calculations'!$C$226</f>
        <v>0.14925047300247418</v>
      </c>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c r="AD146"/>
      <c r="AE146"/>
      <c r="AF146"/>
    </row>
    <row r="147" spans="1:32" s="27" customFormat="1">
      <c r="AC147"/>
      <c r="AD147"/>
      <c r="AE147"/>
      <c r="AF147"/>
    </row>
    <row r="148" spans="1:32" s="27" customFormat="1">
      <c r="AC148"/>
      <c r="AD148"/>
      <c r="AE148"/>
      <c r="AF148"/>
    </row>
    <row r="149" spans="1:32" s="27" customFormat="1">
      <c r="A149" s="27" t="s">
        <v>650</v>
      </c>
      <c r="B149" s="27">
        <v>7</v>
      </c>
      <c r="C149" s="27" t="s">
        <v>795</v>
      </c>
      <c r="AC149"/>
      <c r="AD149"/>
      <c r="AE149"/>
      <c r="AF149"/>
    </row>
    <row r="150" spans="1:32" s="27" customFormat="1" ht="15" thickBot="1">
      <c r="C150" s="27" t="s">
        <v>578</v>
      </c>
      <c r="AC150"/>
      <c r="AD150"/>
      <c r="AE150"/>
      <c r="AF150"/>
    </row>
    <row r="151" spans="1:32" s="27" customFormat="1" ht="15" thickBot="1">
      <c r="A151" s="14"/>
      <c r="B151" s="14" t="s">
        <v>91</v>
      </c>
      <c r="C151" s="15">
        <v>2016</v>
      </c>
      <c r="D151" s="15">
        <v>2017</v>
      </c>
      <c r="E151" s="15">
        <v>2018</v>
      </c>
      <c r="F151" s="15">
        <v>2019</v>
      </c>
      <c r="G151" s="15">
        <v>2020</v>
      </c>
      <c r="H151" s="15">
        <v>2021</v>
      </c>
      <c r="I151" s="15">
        <v>2022</v>
      </c>
      <c r="J151" s="15">
        <v>2023</v>
      </c>
      <c r="K151" s="15">
        <v>2024</v>
      </c>
      <c r="L151" s="15">
        <v>2025</v>
      </c>
      <c r="M151" s="15">
        <v>2026</v>
      </c>
      <c r="N151" s="15">
        <v>2027</v>
      </c>
      <c r="O151" s="15">
        <v>2028</v>
      </c>
      <c r="P151" s="15">
        <v>2029</v>
      </c>
      <c r="Q151" s="15">
        <v>2030</v>
      </c>
      <c r="R151" s="15">
        <v>2031</v>
      </c>
      <c r="S151" s="15">
        <v>2032</v>
      </c>
      <c r="T151" s="15">
        <v>2033</v>
      </c>
      <c r="U151" s="15">
        <v>2034</v>
      </c>
      <c r="V151" s="15">
        <v>2035</v>
      </c>
      <c r="W151" s="15">
        <v>2036</v>
      </c>
      <c r="X151" s="15">
        <v>2037</v>
      </c>
      <c r="Y151" s="15">
        <v>2038</v>
      </c>
      <c r="Z151" s="15">
        <v>2039</v>
      </c>
      <c r="AA151" s="15">
        <v>2040</v>
      </c>
      <c r="AB151" s="292"/>
      <c r="AC151"/>
      <c r="AD151"/>
      <c r="AE151"/>
      <c r="AF151"/>
    </row>
    <row r="152" spans="1:32" s="27" customFormat="1">
      <c r="A152" s="366" t="s">
        <v>556</v>
      </c>
      <c r="B152" s="366" t="s">
        <v>15</v>
      </c>
      <c r="C152" s="230" t="s">
        <v>47</v>
      </c>
      <c r="D152" s="230" t="s">
        <v>47</v>
      </c>
      <c r="E152" s="230" t="s">
        <v>47</v>
      </c>
      <c r="F152" s="230" t="s">
        <v>47</v>
      </c>
      <c r="G152" s="21">
        <f t="shared" ref="G152:AA152" si="46">G153*G154/1000</f>
        <v>724.22489758995232</v>
      </c>
      <c r="H152" s="21">
        <f t="shared" si="46"/>
        <v>1369.3959478822578</v>
      </c>
      <c r="I152" s="21">
        <f t="shared" si="46"/>
        <v>2061.3839469384493</v>
      </c>
      <c r="J152" s="21">
        <f t="shared" si="46"/>
        <v>2802.0412630552491</v>
      </c>
      <c r="K152" s="21">
        <f t="shared" si="46"/>
        <v>3444.3350288554716</v>
      </c>
      <c r="L152" s="21">
        <f t="shared" si="46"/>
        <v>4129.1459867139856</v>
      </c>
      <c r="M152" s="21">
        <f t="shared" si="46"/>
        <v>4858.4009911249159</v>
      </c>
      <c r="N152" s="21">
        <f t="shared" si="46"/>
        <v>5634.0838195336291</v>
      </c>
      <c r="O152" s="21">
        <f t="shared" si="46"/>
        <v>6458.2416690576729</v>
      </c>
      <c r="P152" s="21">
        <f t="shared" si="46"/>
        <v>7333.0147320732713</v>
      </c>
      <c r="Q152" s="21">
        <f t="shared" si="46"/>
        <v>7593.2878278099197</v>
      </c>
      <c r="R152" s="21">
        <f t="shared" si="46"/>
        <v>7861.5633526112833</v>
      </c>
      <c r="S152" s="21">
        <f t="shared" si="46"/>
        <v>8138.1075150606721</v>
      </c>
      <c r="T152" s="21">
        <f t="shared" si="46"/>
        <v>8423.208130266732</v>
      </c>
      <c r="U152" s="21">
        <f t="shared" si="46"/>
        <v>8717.181449081203</v>
      </c>
      <c r="V152" s="21">
        <f t="shared" si="46"/>
        <v>9020.3763229603082</v>
      </c>
      <c r="W152" s="21">
        <f t="shared" si="46"/>
        <v>9333.1574299195181</v>
      </c>
      <c r="X152" s="21">
        <f t="shared" si="46"/>
        <v>9655.9099224770143</v>
      </c>
      <c r="Y152" s="21">
        <f t="shared" si="46"/>
        <v>9989.0269747887342</v>
      </c>
      <c r="Z152" s="21">
        <f t="shared" si="46"/>
        <v>10332.927229304147</v>
      </c>
      <c r="AA152" s="21">
        <f t="shared" si="46"/>
        <v>9522.7346527263981</v>
      </c>
      <c r="AB152" s="69"/>
      <c r="AC152"/>
      <c r="AD152"/>
      <c r="AE152"/>
      <c r="AF152"/>
    </row>
    <row r="153" spans="1:32" s="27" customFormat="1">
      <c r="A153" s="366" t="s">
        <v>90</v>
      </c>
      <c r="B153" s="236" t="s">
        <v>55</v>
      </c>
      <c r="C153" s="230" t="s">
        <v>47</v>
      </c>
      <c r="D153" s="230" t="s">
        <v>47</v>
      </c>
      <c r="E153" s="230" t="s">
        <v>47</v>
      </c>
      <c r="F153" s="230" t="s">
        <v>47</v>
      </c>
      <c r="G153" s="21">
        <f>'Main calculations'!G226*G60/100</f>
        <v>291.74647146094497</v>
      </c>
      <c r="H153" s="21">
        <f>'Main calculations'!H226*H60/100</f>
        <v>591.83073570125475</v>
      </c>
      <c r="I153" s="21">
        <f>'Main calculations'!I226*I60/100</f>
        <v>900.12653724300048</v>
      </c>
      <c r="J153" s="21">
        <f>'Main calculations'!J226*J60/100</f>
        <v>1216.4698446254283</v>
      </c>
      <c r="K153" s="21">
        <f>'Main calculations'!K226*K60/100</f>
        <v>1540.6669937305983</v>
      </c>
      <c r="L153" s="21">
        <f>'Main calculations'!L226*L60/100</f>
        <v>1872.9207872974446</v>
      </c>
      <c r="M153" s="21">
        <f>'Main calculations'!M226*M60/100</f>
        <v>2213.223421305564</v>
      </c>
      <c r="N153" s="21">
        <f>'Main calculations'!N226*N60/100</f>
        <v>2561.5581793170468</v>
      </c>
      <c r="O153" s="21">
        <f>'Main calculations'!O226*O60/100</f>
        <v>2917.9022939506294</v>
      </c>
      <c r="P153" s="21">
        <f>'Main calculations'!P226*P60/100</f>
        <v>3282.2398970314871</v>
      </c>
      <c r="Q153" s="21">
        <f>'Main calculations'!Q226*Q60/100</f>
        <v>3322.3240602686947</v>
      </c>
      <c r="R153" s="21">
        <f>'Main calculations'!R226*R60/100</f>
        <v>3362.3693165056293</v>
      </c>
      <c r="S153" s="21">
        <f>'Main calculations'!S226*S60/100</f>
        <v>3402.3914999865847</v>
      </c>
      <c r="T153" s="21">
        <f>'Main calculations'!T226*T60/100</f>
        <v>3442.4113083308966</v>
      </c>
      <c r="U153" s="21">
        <f>'Main calculations'!U226*U60/100</f>
        <v>3482.4563383643399</v>
      </c>
      <c r="V153" s="21">
        <f>'Main calculations'!V226*V60/100</f>
        <v>3522.5617647296049</v>
      </c>
      <c r="W153" s="21">
        <f>'Main calculations'!W226*W60/100</f>
        <v>3562.7628751711304</v>
      </c>
      <c r="X153" s="21">
        <f>'Main calculations'!X226*X60/100</f>
        <v>3603.0965408577799</v>
      </c>
      <c r="Y153" s="21">
        <f>'Main calculations'!Y226*Y60/100</f>
        <v>3643.5962399060681</v>
      </c>
      <c r="Z153" s="21">
        <f>'Main calculations'!Z226*Z60/100</f>
        <v>3684.2983910778839</v>
      </c>
      <c r="AA153" s="21">
        <f>'Main calculations'!AA226*AA60/100</f>
        <v>3725.2506102078646</v>
      </c>
      <c r="AB153" s="69"/>
      <c r="AC153"/>
      <c r="AD153"/>
      <c r="AE153"/>
      <c r="AF153"/>
    </row>
    <row r="154" spans="1:32" s="27" customFormat="1">
      <c r="A154" s="366" t="s">
        <v>644</v>
      </c>
      <c r="B154" s="366" t="s">
        <v>2</v>
      </c>
      <c r="C154" s="230" t="s">
        <v>47</v>
      </c>
      <c r="D154" s="230" t="s">
        <v>47</v>
      </c>
      <c r="E154" s="230" t="s">
        <v>47</v>
      </c>
      <c r="F154" s="230" t="s">
        <v>47</v>
      </c>
      <c r="G154" s="21">
        <f t="shared" ref="G154:AA154" si="47">G155-G158</f>
        <v>2482.3775724290181</v>
      </c>
      <c r="H154" s="21">
        <f t="shared" si="47"/>
        <v>2313.8303999363488</v>
      </c>
      <c r="I154" s="21">
        <f t="shared" si="47"/>
        <v>2290.1046260143235</v>
      </c>
      <c r="J154" s="21">
        <f t="shared" si="47"/>
        <v>2303.4202413114854</v>
      </c>
      <c r="K154" s="21">
        <f t="shared" si="47"/>
        <v>2235.6129149721692</v>
      </c>
      <c r="L154" s="21">
        <f t="shared" si="47"/>
        <v>2204.6559655479027</v>
      </c>
      <c r="M154" s="21">
        <f t="shared" si="47"/>
        <v>2195.169698800215</v>
      </c>
      <c r="N154" s="21">
        <f t="shared" si="47"/>
        <v>2199.4752510504245</v>
      </c>
      <c r="O154" s="21">
        <f t="shared" si="47"/>
        <v>2213.3166290203908</v>
      </c>
      <c r="P154" s="21">
        <f t="shared" si="47"/>
        <v>2234.1495326729082</v>
      </c>
      <c r="Q154" s="21">
        <f t="shared" si="47"/>
        <v>2285.534971924385</v>
      </c>
      <c r="R154" s="21">
        <f t="shared" si="47"/>
        <v>2338.1022762786451</v>
      </c>
      <c r="S154" s="21">
        <f t="shared" si="47"/>
        <v>2391.8786286330542</v>
      </c>
      <c r="T154" s="21">
        <f t="shared" si="47"/>
        <v>2446.8918370916135</v>
      </c>
      <c r="U154" s="21">
        <f t="shared" si="47"/>
        <v>2503.1703493447212</v>
      </c>
      <c r="V154" s="21">
        <f t="shared" si="47"/>
        <v>2560.7432673796484</v>
      </c>
      <c r="W154" s="21">
        <f t="shared" si="47"/>
        <v>2619.6403625293806</v>
      </c>
      <c r="X154" s="21">
        <f t="shared" si="47"/>
        <v>2679.8920908675559</v>
      </c>
      <c r="Y154" s="21">
        <f t="shared" si="47"/>
        <v>2741.5296089575095</v>
      </c>
      <c r="Z154" s="21">
        <f t="shared" si="47"/>
        <v>2804.5847899635319</v>
      </c>
      <c r="AA154" s="21">
        <f t="shared" si="47"/>
        <v>2556.2668526601601</v>
      </c>
      <c r="AB154" s="69"/>
      <c r="AC154"/>
      <c r="AD154"/>
      <c r="AE154"/>
      <c r="AF154"/>
    </row>
    <row r="155" spans="1:32" s="27" customFormat="1">
      <c r="A155" s="366" t="s">
        <v>864</v>
      </c>
      <c r="B155" s="366" t="s">
        <v>2</v>
      </c>
      <c r="C155" s="230" t="s">
        <v>47</v>
      </c>
      <c r="D155" s="230" t="s">
        <v>47</v>
      </c>
      <c r="E155" s="230" t="s">
        <v>47</v>
      </c>
      <c r="F155" s="230" t="s">
        <v>47</v>
      </c>
      <c r="G155" s="21">
        <f t="shared" ref="G155:AA155" si="48">(G157*G61/100)</f>
        <v>3970.2379470710162</v>
      </c>
      <c r="H155" s="21">
        <f t="shared" si="48"/>
        <v>3835.9115631951122</v>
      </c>
      <c r="I155" s="21">
        <f t="shared" si="48"/>
        <v>3847.1936560280387</v>
      </c>
      <c r="J155" s="21">
        <f t="shared" si="48"/>
        <v>3896.3223190155159</v>
      </c>
      <c r="K155" s="21">
        <f t="shared" si="48"/>
        <v>3865.1517404633923</v>
      </c>
      <c r="L155" s="21">
        <f t="shared" si="48"/>
        <v>3871.6741840254235</v>
      </c>
      <c r="M155" s="21">
        <f t="shared" si="48"/>
        <v>3900.5293363027185</v>
      </c>
      <c r="N155" s="21">
        <f t="shared" si="48"/>
        <v>3944.0581602154857</v>
      </c>
      <c r="O155" s="21">
        <f t="shared" si="48"/>
        <v>3998.0249450962483</v>
      </c>
      <c r="P155" s="21">
        <f t="shared" si="48"/>
        <v>4059.9061400185101</v>
      </c>
      <c r="Q155" s="21">
        <f t="shared" si="48"/>
        <v>4153.2839812389357</v>
      </c>
      <c r="R155" s="21">
        <f t="shared" si="48"/>
        <v>4248.8095128074301</v>
      </c>
      <c r="S155" s="21">
        <f t="shared" si="48"/>
        <v>4346.5321316020008</v>
      </c>
      <c r="T155" s="21">
        <f t="shared" si="48"/>
        <v>4446.5023706288457</v>
      </c>
      <c r="U155" s="21">
        <f t="shared" si="48"/>
        <v>4548.7719251533099</v>
      </c>
      <c r="V155" s="21">
        <f t="shared" si="48"/>
        <v>4653.3936794318342</v>
      </c>
      <c r="W155" s="21">
        <f t="shared" si="48"/>
        <v>4760.4217340587666</v>
      </c>
      <c r="X155" s="21">
        <f t="shared" si="48"/>
        <v>4869.9114339421176</v>
      </c>
      <c r="Y155" s="21">
        <f t="shared" si="48"/>
        <v>4981.9193969227863</v>
      </c>
      <c r="Z155" s="21">
        <f t="shared" si="48"/>
        <v>5096.5035430520093</v>
      </c>
      <c r="AA155" s="21">
        <f t="shared" si="48"/>
        <v>4900.8997370696725</v>
      </c>
      <c r="AB155" s="69"/>
      <c r="AC155"/>
      <c r="AD155"/>
      <c r="AE155"/>
      <c r="AF155"/>
    </row>
    <row r="156" spans="1:32" s="27" customFormat="1" ht="23.15">
      <c r="A156" s="366" t="s">
        <v>865</v>
      </c>
      <c r="B156" s="366" t="s">
        <v>2</v>
      </c>
      <c r="C156" s="367" t="s">
        <v>47</v>
      </c>
      <c r="D156" s="367" t="s">
        <v>47</v>
      </c>
      <c r="E156" s="367" t="s">
        <v>47</v>
      </c>
      <c r="F156" s="367" t="s">
        <v>47</v>
      </c>
      <c r="G156" s="21">
        <f t="shared" ref="G156:AA156" si="49">G157*G62/100</f>
        <v>3970.2379470710162</v>
      </c>
      <c r="H156" s="21">
        <f t="shared" si="49"/>
        <v>4061.5534198536484</v>
      </c>
      <c r="I156" s="21">
        <f t="shared" si="49"/>
        <v>4154.9691485102821</v>
      </c>
      <c r="J156" s="21">
        <f t="shared" si="49"/>
        <v>4250.5334389260179</v>
      </c>
      <c r="K156" s="21">
        <f t="shared" si="49"/>
        <v>4348.2957080213164</v>
      </c>
      <c r="L156" s="21">
        <f t="shared" si="49"/>
        <v>4448.3065093058067</v>
      </c>
      <c r="M156" s="21">
        <f t="shared" si="49"/>
        <v>4550.6175590198391</v>
      </c>
      <c r="N156" s="21">
        <f t="shared" si="49"/>
        <v>4655.2817628772946</v>
      </c>
      <c r="O156" s="21">
        <f t="shared" si="49"/>
        <v>4762.353243423473</v>
      </c>
      <c r="P156" s="21">
        <f t="shared" si="49"/>
        <v>4871.8873680222123</v>
      </c>
      <c r="Q156" s="21">
        <f t="shared" si="49"/>
        <v>4983.9407774867232</v>
      </c>
      <c r="R156" s="21">
        <f t="shared" si="49"/>
        <v>5098.571415368916</v>
      </c>
      <c r="S156" s="21">
        <f t="shared" si="49"/>
        <v>5215.8385579224005</v>
      </c>
      <c r="T156" s="21">
        <f t="shared" si="49"/>
        <v>5335.8028447546149</v>
      </c>
      <c r="U156" s="21">
        <f t="shared" si="49"/>
        <v>5458.5263101839719</v>
      </c>
      <c r="V156" s="21">
        <f t="shared" si="49"/>
        <v>5584.0724153182018</v>
      </c>
      <c r="W156" s="21">
        <f t="shared" si="49"/>
        <v>5712.5060808705202</v>
      </c>
      <c r="X156" s="21">
        <f t="shared" si="49"/>
        <v>5843.8937207305407</v>
      </c>
      <c r="Y156" s="21">
        <f t="shared" si="49"/>
        <v>5978.3032763073434</v>
      </c>
      <c r="Z156" s="21">
        <f t="shared" si="49"/>
        <v>6115.8042516624109</v>
      </c>
      <c r="AA156" s="21">
        <f t="shared" si="49"/>
        <v>6256.4677494506459</v>
      </c>
      <c r="AB156" s="69"/>
      <c r="AC156"/>
      <c r="AD156"/>
      <c r="AE156"/>
      <c r="AF156"/>
    </row>
    <row r="157" spans="1:32" s="27" customFormat="1">
      <c r="A157" s="366" t="s">
        <v>866</v>
      </c>
      <c r="B157" s="366" t="s">
        <v>2</v>
      </c>
      <c r="C157" s="367" t="s">
        <v>47</v>
      </c>
      <c r="D157" s="367" t="s">
        <v>47</v>
      </c>
      <c r="E157" s="367" t="s">
        <v>47</v>
      </c>
      <c r="F157" s="367" t="s">
        <v>47</v>
      </c>
      <c r="G157" s="21">
        <f>AVERAGE('Tables reported in Inquiry'!$C$69,'Tables reported in Inquiry'!$F$69,'Tables reported in Inquiry'!$G$69)*((1+'Main calculations'!$C$240/100)^(G151-2016))</f>
        <v>8822.7509934911468</v>
      </c>
      <c r="H157" s="21">
        <f>AVERAGE('Tables reported in Inquiry'!$C$69,'Tables reported in Inquiry'!$F$69,'Tables reported in Inquiry'!$G$69)*((1+'Main calculations'!$C$240/100)^(H151-2016))</f>
        <v>9025.6742663414407</v>
      </c>
      <c r="I157" s="21">
        <f>AVERAGE('Tables reported in Inquiry'!$C$69,'Tables reported in Inquiry'!$F$69,'Tables reported in Inquiry'!$G$69)*((1+'Main calculations'!$C$240/100)^(I151-2016))</f>
        <v>9233.264774467294</v>
      </c>
      <c r="J157" s="21">
        <f>AVERAGE('Tables reported in Inquiry'!$C$69,'Tables reported in Inquiry'!$F$69,'Tables reported in Inquiry'!$G$69)*((1+'Main calculations'!$C$240/100)^(J151-2016))</f>
        <v>9445.6298642800393</v>
      </c>
      <c r="K157" s="21">
        <f>AVERAGE('Tables reported in Inquiry'!$C$69,'Tables reported in Inquiry'!$F$69,'Tables reported in Inquiry'!$G$69)*((1+'Main calculations'!$C$240/100)^(K151-2016))</f>
        <v>9662.8793511584809</v>
      </c>
      <c r="L157" s="21">
        <f>AVERAGE('Tables reported in Inquiry'!$C$69,'Tables reported in Inquiry'!$F$69,'Tables reported in Inquiry'!$G$69)*((1+'Main calculations'!$C$240/100)^(L151-2016))</f>
        <v>9885.1255762351248</v>
      </c>
      <c r="M157" s="21">
        <f>AVERAGE('Tables reported in Inquiry'!$C$69,'Tables reported in Inquiry'!$F$69,'Tables reported in Inquiry'!$G$69)*((1+'Main calculations'!$C$240/100)^(M151-2016))</f>
        <v>10112.48346448853</v>
      </c>
      <c r="N157" s="21">
        <f>AVERAGE('Tables reported in Inquiry'!$C$69,'Tables reported in Inquiry'!$F$69,'Tables reported in Inquiry'!$G$69)*((1+'Main calculations'!$C$240/100)^(N151-2016))</f>
        <v>10345.070584171766</v>
      </c>
      <c r="O157" s="21">
        <f>AVERAGE('Tables reported in Inquiry'!$C$69,'Tables reported in Inquiry'!$F$69,'Tables reported in Inquiry'!$G$69)*((1+'Main calculations'!$C$240/100)^(O151-2016))</f>
        <v>10583.007207607718</v>
      </c>
      <c r="P157" s="21">
        <f>AVERAGE('Tables reported in Inquiry'!$C$69,'Tables reported in Inquiry'!$F$69,'Tables reported in Inquiry'!$G$69)*((1+'Main calculations'!$C$240/100)^(P151-2016))</f>
        <v>10826.416373382694</v>
      </c>
      <c r="Q157" s="21">
        <f>AVERAGE('Tables reported in Inquiry'!$C$69,'Tables reported in Inquiry'!$F$69,'Tables reported in Inquiry'!$G$69)*((1+'Main calculations'!$C$240/100)^(Q151-2016))</f>
        <v>11075.423949970495</v>
      </c>
      <c r="R157" s="21">
        <f>AVERAGE('Tables reported in Inquiry'!$C$69,'Tables reported in Inquiry'!$F$69,'Tables reported in Inquiry'!$G$69)*((1+'Main calculations'!$C$240/100)^(R151-2016))</f>
        <v>11330.158700819813</v>
      </c>
      <c r="S157" s="21">
        <f>AVERAGE('Tables reported in Inquiry'!$C$69,'Tables reported in Inquiry'!$F$69,'Tables reported in Inquiry'!$G$69)*((1+'Main calculations'!$C$240/100)^(S151-2016))</f>
        <v>11590.752350938668</v>
      </c>
      <c r="T157" s="21">
        <f>AVERAGE('Tables reported in Inquiry'!$C$69,'Tables reported in Inquiry'!$F$69,'Tables reported in Inquiry'!$G$69)*((1+'Main calculations'!$C$240/100)^(T151-2016))</f>
        <v>11857.339655010255</v>
      </c>
      <c r="U157" s="21">
        <f>AVERAGE('Tables reported in Inquiry'!$C$69,'Tables reported in Inquiry'!$F$69,'Tables reported in Inquiry'!$G$69)*((1+'Main calculations'!$C$240/100)^(U151-2016))</f>
        <v>12130.058467075492</v>
      </c>
      <c r="V157" s="21">
        <f>AVERAGE('Tables reported in Inquiry'!$C$69,'Tables reported in Inquiry'!$F$69,'Tables reported in Inquiry'!$G$69)*((1+'Main calculations'!$C$240/100)^(V151-2016))</f>
        <v>12409.049811818226</v>
      </c>
      <c r="W157" s="21">
        <f>AVERAGE('Tables reported in Inquiry'!$C$69,'Tables reported in Inquiry'!$F$69,'Tables reported in Inquiry'!$G$69)*((1+'Main calculations'!$C$240/100)^(W151-2016))</f>
        <v>12694.457957490044</v>
      </c>
      <c r="X157" s="21">
        <f>AVERAGE('Tables reported in Inquiry'!$C$69,'Tables reported in Inquiry'!$F$69,'Tables reported in Inquiry'!$G$69)*((1+'Main calculations'!$C$240/100)^(X151-2016))</f>
        <v>12986.430490512314</v>
      </c>
      <c r="Y157" s="21">
        <f>AVERAGE('Tables reported in Inquiry'!$C$69,'Tables reported in Inquiry'!$F$69,'Tables reported in Inquiry'!$G$69)*((1+'Main calculations'!$C$240/100)^(Y151-2016))</f>
        <v>13285.118391794096</v>
      </c>
      <c r="Z157" s="21">
        <f>AVERAGE('Tables reported in Inquiry'!$C$69,'Tables reported in Inquiry'!$F$69,'Tables reported in Inquiry'!$G$69)*((1+'Main calculations'!$C$240/100)^(Z151-2016))</f>
        <v>13590.676114805357</v>
      </c>
      <c r="AA157" s="21">
        <f>AVERAGE('Tables reported in Inquiry'!$C$69,'Tables reported in Inquiry'!$F$69,'Tables reported in Inquiry'!$G$69)*((1+'Main calculations'!$C$240/100)^(AA151-2016))</f>
        <v>13903.26166544588</v>
      </c>
      <c r="AB157" s="69"/>
      <c r="AC157"/>
      <c r="AD157"/>
      <c r="AE157"/>
      <c r="AF157"/>
    </row>
    <row r="158" spans="1:32" s="27" customFormat="1" ht="15" thickBot="1">
      <c r="A158" s="368" t="s">
        <v>867</v>
      </c>
      <c r="B158" s="368" t="s">
        <v>2</v>
      </c>
      <c r="C158" s="369" t="s">
        <v>47</v>
      </c>
      <c r="D158" s="369" t="s">
        <v>47</v>
      </c>
      <c r="E158" s="369" t="s">
        <v>47</v>
      </c>
      <c r="F158" s="369" t="s">
        <v>47</v>
      </c>
      <c r="G158" s="22">
        <f>AVERAGE('Tables reported in Inquiry'!$E$68,'Tables reported in Inquiry'!$F$68)*((1+'Main calculations'!$C$240/100)^(G151-2016))</f>
        <v>1487.8603746419979</v>
      </c>
      <c r="H158" s="22">
        <f>AVERAGE('Tables reported in Inquiry'!$E$68,'Tables reported in Inquiry'!$F$68)*((1+'Main calculations'!$C$240/100)^(H151-2016))</f>
        <v>1522.0811632587636</v>
      </c>
      <c r="I158" s="22">
        <f>AVERAGE('Tables reported in Inquiry'!$E$68,'Tables reported in Inquiry'!$F$68)*((1+'Main calculations'!$C$240/100)^(I151-2016))</f>
        <v>1557.0890300137153</v>
      </c>
      <c r="J158" s="22">
        <f>AVERAGE('Tables reported in Inquiry'!$E$68,'Tables reported in Inquiry'!$F$68)*((1+'Main calculations'!$C$240/100)^(J151-2016))</f>
        <v>1592.9020777040303</v>
      </c>
      <c r="K158" s="22">
        <f>AVERAGE('Tables reported in Inquiry'!$E$68,'Tables reported in Inquiry'!$F$68)*((1+'Main calculations'!$C$240/100)^(K151-2016))</f>
        <v>1629.538825491223</v>
      </c>
      <c r="L158" s="22">
        <f>AVERAGE('Tables reported in Inquiry'!$E$68,'Tables reported in Inquiry'!$F$68)*((1+'Main calculations'!$C$240/100)^(L151-2016))</f>
        <v>1667.0182184775208</v>
      </c>
      <c r="M158" s="22">
        <f>AVERAGE('Tables reported in Inquiry'!$E$68,'Tables reported in Inquiry'!$F$68)*((1+'Main calculations'!$C$240/100)^(M151-2016))</f>
        <v>1705.3596375025038</v>
      </c>
      <c r="N158" s="22">
        <f>AVERAGE('Tables reported in Inquiry'!$E$68,'Tables reported in Inquiry'!$F$68)*((1+'Main calculations'!$C$240/100)^(N151-2016))</f>
        <v>1744.5829091650612</v>
      </c>
      <c r="O158" s="22">
        <f>AVERAGE('Tables reported in Inquiry'!$E$68,'Tables reported in Inquiry'!$F$68)*((1+'Main calculations'!$C$240/100)^(O151-2016))</f>
        <v>1784.7083160758575</v>
      </c>
      <c r="P158" s="22">
        <f>AVERAGE('Tables reported in Inquiry'!$E$68,'Tables reported in Inquiry'!$F$68)*((1+'Main calculations'!$C$240/100)^(P151-2016))</f>
        <v>1825.7566073456019</v>
      </c>
      <c r="Q158" s="22">
        <f>AVERAGE('Tables reported in Inquiry'!$E$68,'Tables reported in Inquiry'!$F$68)*((1+'Main calculations'!$C$240/100)^(Q151-2016))</f>
        <v>1867.7490093145509</v>
      </c>
      <c r="R158" s="22">
        <f>AVERAGE('Tables reported in Inquiry'!$E$68,'Tables reported in Inquiry'!$F$68)*((1+'Main calculations'!$C$240/100)^(R151-2016))</f>
        <v>1910.707236528785</v>
      </c>
      <c r="S158" s="22">
        <f>AVERAGE('Tables reported in Inquiry'!$E$68,'Tables reported in Inquiry'!$F$68)*((1+'Main calculations'!$C$240/100)^(S151-2016))</f>
        <v>1954.6535029689469</v>
      </c>
      <c r="T158" s="22">
        <f>AVERAGE('Tables reported in Inquiry'!$E$68,'Tables reported in Inquiry'!$F$68)*((1+'Main calculations'!$C$240/100)^(T151-2016))</f>
        <v>1999.6105335372324</v>
      </c>
      <c r="U158" s="22">
        <f>AVERAGE('Tables reported in Inquiry'!$E$68,'Tables reported in Inquiry'!$F$68)*((1+'Main calculations'!$C$240/100)^(U151-2016))</f>
        <v>2045.6015758085887</v>
      </c>
      <c r="V158" s="22">
        <f>AVERAGE('Tables reported in Inquiry'!$E$68,'Tables reported in Inquiry'!$F$68)*((1+'Main calculations'!$C$240/100)^(V151-2016))</f>
        <v>2092.6504120521859</v>
      </c>
      <c r="W158" s="22">
        <f>AVERAGE('Tables reported in Inquiry'!$E$68,'Tables reported in Inquiry'!$F$68)*((1+'Main calculations'!$C$240/100)^(W151-2016))</f>
        <v>2140.781371529386</v>
      </c>
      <c r="X158" s="22">
        <f>AVERAGE('Tables reported in Inquiry'!$E$68,'Tables reported in Inquiry'!$F$68)*((1+'Main calculations'!$C$240/100)^(X151-2016))</f>
        <v>2190.0193430745617</v>
      </c>
      <c r="Y158" s="22">
        <f>AVERAGE('Tables reported in Inquiry'!$E$68,'Tables reported in Inquiry'!$F$68)*((1+'Main calculations'!$C$240/100)^(Y151-2016))</f>
        <v>2240.3897879652768</v>
      </c>
      <c r="Z158" s="22">
        <f>AVERAGE('Tables reported in Inquiry'!$E$68,'Tables reported in Inquiry'!$F$68)*((1+'Main calculations'!$C$240/100)^(Z151-2016))</f>
        <v>2291.9187530884774</v>
      </c>
      <c r="AA158" s="22">
        <f>AVERAGE('Tables reported in Inquiry'!$E$68,'Tables reported in Inquiry'!$F$68)*((1+'Main calculations'!$C$240/100)^(AA151-2016))</f>
        <v>2344.6328844095124</v>
      </c>
      <c r="AB158" s="225"/>
      <c r="AC158"/>
      <c r="AD158"/>
      <c r="AE158"/>
      <c r="AF158"/>
    </row>
    <row r="159" spans="1:32" s="27" customFormat="1">
      <c r="A159" s="26" t="s">
        <v>780</v>
      </c>
      <c r="B159" s="19"/>
      <c r="C159" s="19"/>
      <c r="D159" s="19"/>
      <c r="E159" s="19"/>
      <c r="F159" s="19"/>
      <c r="G159" s="53"/>
      <c r="H159" s="53"/>
      <c r="I159" s="53"/>
      <c r="J159" s="53"/>
      <c r="K159" s="53"/>
      <c r="AC159"/>
      <c r="AD159"/>
      <c r="AE159"/>
      <c r="AF159"/>
    </row>
    <row r="160" spans="1:32" s="27" customFormat="1">
      <c r="A160" s="26"/>
      <c r="B160" s="19"/>
      <c r="C160" s="19"/>
      <c r="D160" s="19"/>
      <c r="E160" s="19"/>
      <c r="F160" s="19"/>
      <c r="G160" s="53"/>
      <c r="H160" s="53"/>
      <c r="I160" s="53"/>
      <c r="J160" s="53"/>
      <c r="K160" s="53"/>
      <c r="AC160"/>
      <c r="AD160"/>
      <c r="AE160"/>
      <c r="AF160"/>
    </row>
    <row r="161" spans="1:32" s="27" customFormat="1">
      <c r="A161" s="27" t="s">
        <v>650</v>
      </c>
      <c r="B161" s="27">
        <v>8</v>
      </c>
      <c r="C161" s="27" t="s">
        <v>796</v>
      </c>
      <c r="AC161"/>
      <c r="AD161"/>
      <c r="AE161"/>
      <c r="AF161"/>
    </row>
    <row r="162" spans="1:32" s="27" customFormat="1" ht="15" thickBot="1">
      <c r="C162" s="27" t="s">
        <v>578</v>
      </c>
      <c r="AC162"/>
      <c r="AD162"/>
      <c r="AE162"/>
      <c r="AF162"/>
    </row>
    <row r="163" spans="1:32" s="27" customFormat="1" ht="15" thickBot="1">
      <c r="A163" s="14"/>
      <c r="B163" s="14" t="s">
        <v>91</v>
      </c>
      <c r="C163" s="15">
        <v>2016</v>
      </c>
      <c r="D163" s="15">
        <v>2017</v>
      </c>
      <c r="E163" s="15">
        <v>2018</v>
      </c>
      <c r="F163" s="15">
        <v>2019</v>
      </c>
      <c r="G163" s="15">
        <v>2020</v>
      </c>
      <c r="H163" s="15">
        <v>2021</v>
      </c>
      <c r="I163" s="15">
        <v>2022</v>
      </c>
      <c r="J163" s="15">
        <v>2023</v>
      </c>
      <c r="K163" s="15">
        <v>2024</v>
      </c>
      <c r="L163" s="15">
        <v>2025</v>
      </c>
      <c r="M163" s="15">
        <v>2026</v>
      </c>
      <c r="N163" s="15">
        <v>2027</v>
      </c>
      <c r="O163" s="15">
        <v>2028</v>
      </c>
      <c r="P163" s="15">
        <v>2029</v>
      </c>
      <c r="Q163" s="15">
        <v>2030</v>
      </c>
      <c r="R163" s="15">
        <v>2031</v>
      </c>
      <c r="S163" s="15">
        <v>2032</v>
      </c>
      <c r="T163" s="15">
        <v>2033</v>
      </c>
      <c r="U163" s="15">
        <v>2034</v>
      </c>
      <c r="V163" s="15">
        <v>2035</v>
      </c>
      <c r="W163" s="15">
        <v>2036</v>
      </c>
      <c r="X163" s="15">
        <v>2037</v>
      </c>
      <c r="Y163" s="15">
        <v>2038</v>
      </c>
      <c r="Z163" s="15">
        <v>2039</v>
      </c>
      <c r="AA163" s="15">
        <v>2040</v>
      </c>
      <c r="AB163" s="292"/>
      <c r="AC163"/>
      <c r="AD163"/>
      <c r="AE163"/>
      <c r="AF163"/>
    </row>
    <row r="164" spans="1:32" s="27" customFormat="1">
      <c r="A164" s="27" t="s">
        <v>679</v>
      </c>
      <c r="B164" s="366" t="s">
        <v>15</v>
      </c>
      <c r="C164" s="246" t="s">
        <v>47</v>
      </c>
      <c r="D164" s="246" t="s">
        <v>47</v>
      </c>
      <c r="E164" s="246" t="s">
        <v>47</v>
      </c>
      <c r="F164" s="246" t="s">
        <v>47</v>
      </c>
      <c r="G164" s="53">
        <f t="shared" ref="G164:AA164" si="50">G165*G153/1000</f>
        <v>934.58644684909837</v>
      </c>
      <c r="H164" s="53">
        <f t="shared" si="50"/>
        <v>1831.7383255160189</v>
      </c>
      <c r="I164" s="53">
        <f t="shared" si="50"/>
        <v>2794.1192931364794</v>
      </c>
      <c r="J164" s="53">
        <f t="shared" si="50"/>
        <v>3824.3140968968132</v>
      </c>
      <c r="K164" s="53">
        <f t="shared" si="50"/>
        <v>4804.7706012188992</v>
      </c>
      <c r="L164" s="53">
        <f t="shared" si="50"/>
        <v>5850.8039115646743</v>
      </c>
      <c r="M164" s="53">
        <f t="shared" si="50"/>
        <v>6965.4012039425179</v>
      </c>
      <c r="N164" s="53">
        <f t="shared" si="50"/>
        <v>8151.6376276681904</v>
      </c>
      <c r="O164" s="53">
        <f t="shared" si="50"/>
        <v>9412.6860932844793</v>
      </c>
      <c r="P164" s="53">
        <f t="shared" si="50"/>
        <v>10751.861072413378</v>
      </c>
      <c r="Q164" s="53">
        <f t="shared" si="50"/>
        <v>11133.480402047018</v>
      </c>
      <c r="R164" s="53">
        <f t="shared" si="50"/>
        <v>11526.833105837035</v>
      </c>
      <c r="S164" s="53">
        <f t="shared" si="50"/>
        <v>11932.309505882677</v>
      </c>
      <c r="T164" s="53">
        <f t="shared" si="50"/>
        <v>12350.331604344834</v>
      </c>
      <c r="U164" s="53">
        <f t="shared" si="50"/>
        <v>12781.363096626563</v>
      </c>
      <c r="V164" s="53">
        <f t="shared" si="50"/>
        <v>13225.915478003599</v>
      </c>
      <c r="W164" s="53">
        <f t="shared" si="50"/>
        <v>13684.523449073402</v>
      </c>
      <c r="X164" s="53">
        <f t="shared" si="50"/>
        <v>14157.751730693422</v>
      </c>
      <c r="Y164" s="53">
        <f t="shared" si="50"/>
        <v>14646.176805259562</v>
      </c>
      <c r="Z164" s="53">
        <f t="shared" si="50"/>
        <v>15150.412497456497</v>
      </c>
      <c r="AA164" s="53">
        <f t="shared" si="50"/>
        <v>14730.878343499253</v>
      </c>
      <c r="AB164" s="38"/>
      <c r="AC164"/>
      <c r="AD164"/>
      <c r="AE164"/>
      <c r="AF164"/>
    </row>
    <row r="165" spans="1:32" s="27" customFormat="1">
      <c r="A165" s="27" t="s">
        <v>868</v>
      </c>
      <c r="B165" s="366" t="s">
        <v>2</v>
      </c>
      <c r="C165" s="246" t="s">
        <v>47</v>
      </c>
      <c r="D165" s="246" t="s">
        <v>47</v>
      </c>
      <c r="E165" s="246" t="s">
        <v>47</v>
      </c>
      <c r="F165" s="246" t="s">
        <v>47</v>
      </c>
      <c r="G165" s="53">
        <f t="shared" ref="G165:AA165" si="51">G166*G61/100</f>
        <v>3203.4198808612086</v>
      </c>
      <c r="H165" s="53">
        <f t="shared" si="51"/>
        <v>3095.0375082254036</v>
      </c>
      <c r="I165" s="53">
        <f t="shared" si="51"/>
        <v>3104.1405597201847</v>
      </c>
      <c r="J165" s="53">
        <f t="shared" si="51"/>
        <v>3143.7804346678108</v>
      </c>
      <c r="K165" s="53">
        <f t="shared" si="51"/>
        <v>3118.6301911904679</v>
      </c>
      <c r="L165" s="53">
        <f t="shared" si="51"/>
        <v>3123.8928796381015</v>
      </c>
      <c r="M165" s="53">
        <f t="shared" si="51"/>
        <v>3147.1749019507843</v>
      </c>
      <c r="N165" s="53">
        <f t="shared" si="51"/>
        <v>3182.2964996413043</v>
      </c>
      <c r="O165" s="53">
        <f t="shared" si="51"/>
        <v>3225.8400539314771</v>
      </c>
      <c r="P165" s="53">
        <f t="shared" si="51"/>
        <v>3275.7694165309313</v>
      </c>
      <c r="Q165" s="53">
        <f t="shared" si="51"/>
        <v>3351.1121131111431</v>
      </c>
      <c r="R165" s="53">
        <f t="shared" si="51"/>
        <v>3428.1876917126979</v>
      </c>
      <c r="S165" s="53">
        <f t="shared" si="51"/>
        <v>3507.0360086220899</v>
      </c>
      <c r="T165" s="53">
        <f t="shared" si="51"/>
        <v>3587.6978368203977</v>
      </c>
      <c r="U165" s="53">
        <f t="shared" si="51"/>
        <v>3670.2148870672668</v>
      </c>
      <c r="V165" s="53">
        <f t="shared" si="51"/>
        <v>3754.6298294698126</v>
      </c>
      <c r="W165" s="53">
        <f t="shared" si="51"/>
        <v>3840.9863155476191</v>
      </c>
      <c r="X165" s="53">
        <f t="shared" si="51"/>
        <v>3929.3290008052136</v>
      </c>
      <c r="Y165" s="53">
        <f t="shared" si="51"/>
        <v>4019.7035678237335</v>
      </c>
      <c r="Z165" s="53">
        <f t="shared" si="51"/>
        <v>4112.1567498836785</v>
      </c>
      <c r="AA165" s="53">
        <f t="shared" si="51"/>
        <v>3954.3321738231425</v>
      </c>
      <c r="AC165"/>
      <c r="AD165"/>
      <c r="AE165"/>
      <c r="AF165"/>
    </row>
    <row r="166" spans="1:32" s="27" customFormat="1">
      <c r="A166" s="27" t="s">
        <v>869</v>
      </c>
      <c r="B166" s="366" t="s">
        <v>2</v>
      </c>
      <c r="C166" s="53">
        <f>C168/'Main calculations'!C226*1000</f>
        <v>6499.7824053917739</v>
      </c>
      <c r="D166" s="53">
        <f>$C166*((1+'Main calculations'!$C$240/100)^(D151-2016))</f>
        <v>6649.2774007157841</v>
      </c>
      <c r="E166" s="53">
        <f>$C166*((1+'Main calculations'!$C$240/100)^(E151-2016))</f>
        <v>6802.210780932247</v>
      </c>
      <c r="F166" s="53">
        <f>$C166*((1+'Main calculations'!$C$240/100)^(F151-2016))</f>
        <v>6958.6616288936875</v>
      </c>
      <c r="G166" s="53">
        <f>$C166*((1+'Main calculations'!$C$240/100)^(G151-2016))</f>
        <v>7118.7108463582417</v>
      </c>
      <c r="H166" s="53">
        <f>$C166*((1+'Main calculations'!$C$240/100)^(H151-2016))</f>
        <v>7282.44119582448</v>
      </c>
      <c r="I166" s="53">
        <f>$C166*((1+'Main calculations'!$C$240/100)^(I151-2016))</f>
        <v>7449.9373433284436</v>
      </c>
      <c r="J166" s="53">
        <f>$C166*((1+'Main calculations'!$C$240/100)^(J151-2016))</f>
        <v>7621.2859022249959</v>
      </c>
      <c r="K166" s="53">
        <f>$C166*((1+'Main calculations'!$C$240/100)^(K151-2016))</f>
        <v>7796.5754779761701</v>
      </c>
      <c r="L166" s="53">
        <f>$C166*((1+'Main calculations'!$C$240/100)^(L151-2016))</f>
        <v>7975.8967139696215</v>
      </c>
      <c r="M166" s="53">
        <f>$C166*((1+'Main calculations'!$C$240/100)^(M151-2016))</f>
        <v>8159.3423383909221</v>
      </c>
      <c r="N166" s="53">
        <f>$C166*((1+'Main calculations'!$C$240/100)^(N151-2016))</f>
        <v>8347.0072121739122</v>
      </c>
      <c r="O166" s="53">
        <f>$C166*((1+'Main calculations'!$C$240/100)^(O151-2016))</f>
        <v>8538.9883780539112</v>
      </c>
      <c r="P166" s="53">
        <f>$C166*((1+'Main calculations'!$C$240/100)^(P151-2016))</f>
        <v>8735.38511074915</v>
      </c>
      <c r="Q166" s="53">
        <f>$C166*((1+'Main calculations'!$C$240/100)^(Q151-2016))</f>
        <v>8936.2989682963816</v>
      </c>
      <c r="R166" s="53">
        <f>$C166*((1+'Main calculations'!$C$240/100)^(R151-2016))</f>
        <v>9141.8338445671943</v>
      </c>
      <c r="S166" s="53">
        <f>$C166*((1+'Main calculations'!$C$240/100)^(S151-2016))</f>
        <v>9352.0960229922403</v>
      </c>
      <c r="T166" s="53">
        <f>$C166*((1+'Main calculations'!$C$240/100)^(T151-2016))</f>
        <v>9567.1942315210599</v>
      </c>
      <c r="U166" s="53">
        <f>$C166*((1+'Main calculations'!$C$240/100)^(U151-2016))</f>
        <v>9787.2396988460459</v>
      </c>
      <c r="V166" s="53">
        <f>$C166*((1+'Main calculations'!$C$240/100)^(V151-2016))</f>
        <v>10012.346211919501</v>
      </c>
      <c r="W166" s="53">
        <f>$C166*((1+'Main calculations'!$C$240/100)^(W151-2016))</f>
        <v>10242.63017479365</v>
      </c>
      <c r="X166" s="53">
        <f>$C166*((1+'Main calculations'!$C$240/100)^(X151-2016))</f>
        <v>10478.210668813903</v>
      </c>
      <c r="Y166" s="53">
        <f>$C166*((1+'Main calculations'!$C$240/100)^(Y151-2016))</f>
        <v>10719.209514196622</v>
      </c>
      <c r="Z166" s="53">
        <f>$C166*((1+'Main calculations'!$C$240/100)^(Z151-2016))</f>
        <v>10965.751333023141</v>
      </c>
      <c r="AA166" s="53">
        <f>$C166*((1+'Main calculations'!$C$240/100)^(AA151-2016))</f>
        <v>11217.963613682674</v>
      </c>
      <c r="AC166"/>
      <c r="AD166"/>
      <c r="AE166"/>
      <c r="AF166"/>
    </row>
    <row r="167" spans="1:32" s="27" customFormat="1">
      <c r="A167" s="26"/>
      <c r="B167" s="19"/>
      <c r="C167" s="19"/>
      <c r="D167" s="19"/>
      <c r="E167" s="19"/>
      <c r="F167" s="19"/>
      <c r="G167" s="53"/>
      <c r="H167" s="53"/>
      <c r="I167" s="53"/>
      <c r="J167" s="53"/>
      <c r="K167" s="53"/>
      <c r="AC167"/>
      <c r="AD167"/>
      <c r="AE167"/>
      <c r="AF167"/>
    </row>
    <row r="168" spans="1:32" s="27" customFormat="1" ht="24">
      <c r="A168" s="220" t="s">
        <v>933</v>
      </c>
      <c r="B168" s="366" t="s">
        <v>15</v>
      </c>
      <c r="C168" s="53">
        <f>C169*'Inputs into calculations'!D149/100</f>
        <v>17864.001962978749</v>
      </c>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C168"/>
      <c r="AD168"/>
      <c r="AE168"/>
      <c r="AF168"/>
    </row>
    <row r="169" spans="1:32" s="27" customFormat="1" ht="15" thickBot="1">
      <c r="A169" s="225" t="s">
        <v>932</v>
      </c>
      <c r="B169" s="368" t="s">
        <v>15</v>
      </c>
      <c r="C169" s="226">
        <f>'AIHW Health spending &amp; PC ests'!E31</f>
        <v>77948.635599999994</v>
      </c>
      <c r="D169" s="386"/>
      <c r="E169" s="387"/>
      <c r="F169" s="387"/>
      <c r="G169" s="226"/>
      <c r="H169" s="226"/>
      <c r="I169" s="226"/>
      <c r="J169" s="226"/>
      <c r="K169" s="226"/>
      <c r="L169" s="225"/>
      <c r="M169" s="225"/>
      <c r="N169" s="225"/>
      <c r="O169" s="225"/>
      <c r="P169" s="225"/>
      <c r="Q169" s="225"/>
      <c r="R169" s="225"/>
      <c r="S169" s="225"/>
      <c r="T169" s="225"/>
      <c r="U169" s="225"/>
      <c r="V169" s="225"/>
      <c r="W169" s="225"/>
      <c r="X169" s="225"/>
      <c r="Y169" s="225"/>
      <c r="Z169" s="225"/>
      <c r="AA169" s="225"/>
      <c r="AB169" s="225"/>
      <c r="AC169"/>
      <c r="AD169"/>
      <c r="AE169"/>
      <c r="AF169"/>
    </row>
    <row r="170" spans="1:32" s="27" customFormat="1">
      <c r="A170" s="26" t="s">
        <v>940</v>
      </c>
      <c r="B170" s="19"/>
      <c r="C170" s="19"/>
      <c r="D170" s="19"/>
      <c r="E170" s="19"/>
      <c r="F170" s="19"/>
      <c r="G170" s="53"/>
      <c r="H170" s="53"/>
      <c r="I170" s="53"/>
      <c r="J170" s="53"/>
      <c r="K170" s="53"/>
      <c r="AC170"/>
      <c r="AD170"/>
      <c r="AE170"/>
      <c r="AF170"/>
    </row>
    <row r="171" spans="1:32" s="27" customFormat="1">
      <c r="A171" s="39"/>
      <c r="B171" s="241"/>
      <c r="C171" s="323"/>
      <c r="D171" s="380"/>
      <c r="E171" s="378"/>
      <c r="F171" s="378"/>
      <c r="G171" s="323"/>
      <c r="H171" s="323"/>
      <c r="I171" s="323"/>
      <c r="J171" s="323"/>
      <c r="K171" s="323"/>
      <c r="L171" s="39"/>
      <c r="M171" s="39"/>
      <c r="N171" s="39"/>
      <c r="O171" s="39"/>
      <c r="P171" s="39"/>
      <c r="Q171" s="39"/>
      <c r="R171" s="39"/>
      <c r="S171" s="39"/>
      <c r="T171" s="39"/>
      <c r="U171" s="39"/>
      <c r="V171" s="39"/>
      <c r="W171" s="39"/>
      <c r="X171" s="39"/>
      <c r="Y171" s="39"/>
      <c r="Z171" s="39"/>
      <c r="AA171" s="39"/>
      <c r="AB171" s="39"/>
      <c r="AC171"/>
      <c r="AD171"/>
      <c r="AE171"/>
      <c r="AF171"/>
    </row>
    <row r="172" spans="1:32" s="27" customFormat="1">
      <c r="B172" s="26"/>
      <c r="C172" s="26"/>
      <c r="D172" s="26"/>
      <c r="AC172"/>
      <c r="AD172"/>
      <c r="AE172"/>
      <c r="AF172"/>
    </row>
    <row r="173" spans="1:32" s="27" customFormat="1">
      <c r="A173" s="27" t="s">
        <v>650</v>
      </c>
      <c r="B173" s="27">
        <v>9</v>
      </c>
      <c r="C173" s="27" t="s">
        <v>684</v>
      </c>
      <c r="AC173"/>
      <c r="AD173"/>
      <c r="AE173"/>
      <c r="AF173"/>
    </row>
    <row r="174" spans="1:32" s="27" customFormat="1" ht="15" thickBot="1">
      <c r="C174" s="27" t="s">
        <v>578</v>
      </c>
      <c r="AC174"/>
      <c r="AD174"/>
      <c r="AE174"/>
      <c r="AF174"/>
    </row>
    <row r="175" spans="1:32" s="27" customFormat="1" ht="15" thickBot="1">
      <c r="A175" s="14"/>
      <c r="B175" s="14" t="s">
        <v>91</v>
      </c>
      <c r="C175" s="15">
        <v>2016</v>
      </c>
      <c r="D175" s="15">
        <v>2017</v>
      </c>
      <c r="E175" s="15">
        <v>2018</v>
      </c>
      <c r="F175" s="15">
        <v>2019</v>
      </c>
      <c r="G175" s="15">
        <v>2020</v>
      </c>
      <c r="H175" s="15">
        <v>2021</v>
      </c>
      <c r="I175" s="15">
        <v>2022</v>
      </c>
      <c r="J175" s="15">
        <v>2023</v>
      </c>
      <c r="K175" s="15">
        <v>2024</v>
      </c>
      <c r="L175" s="15">
        <v>2025</v>
      </c>
      <c r="M175" s="15">
        <v>2026</v>
      </c>
      <c r="N175" s="15">
        <v>2027</v>
      </c>
      <c r="O175" s="15">
        <v>2028</v>
      </c>
      <c r="P175" s="15">
        <v>2029</v>
      </c>
      <c r="Q175" s="15">
        <v>2030</v>
      </c>
      <c r="R175" s="15">
        <v>2031</v>
      </c>
      <c r="S175" s="15">
        <v>2032</v>
      </c>
      <c r="T175" s="15">
        <v>2033</v>
      </c>
      <c r="U175" s="15">
        <v>2034</v>
      </c>
      <c r="V175" s="15">
        <v>2035</v>
      </c>
      <c r="W175" s="15">
        <v>2036</v>
      </c>
      <c r="X175" s="15">
        <v>2037</v>
      </c>
      <c r="Y175" s="15">
        <v>2038</v>
      </c>
      <c r="Z175" s="15">
        <v>2039</v>
      </c>
      <c r="AA175" s="15">
        <v>2040</v>
      </c>
      <c r="AB175" s="292"/>
      <c r="AC175"/>
      <c r="AD175"/>
      <c r="AE175"/>
      <c r="AF175"/>
    </row>
    <row r="176" spans="1:32" s="27" customFormat="1">
      <c r="A176" s="366" t="s">
        <v>196</v>
      </c>
      <c r="B176" s="366" t="s">
        <v>15</v>
      </c>
      <c r="C176" s="230" t="s">
        <v>47</v>
      </c>
      <c r="D176" s="230" t="s">
        <v>47</v>
      </c>
      <c r="E176" s="230" t="s">
        <v>47</v>
      </c>
      <c r="F176" s="230" t="s">
        <v>47</v>
      </c>
      <c r="G176" s="21">
        <f t="shared" ref="G176:AA176" si="52">G177*G178/1000000</f>
        <v>71.044814326811789</v>
      </c>
      <c r="H176" s="21">
        <f t="shared" si="52"/>
        <v>142.44261439038954</v>
      </c>
      <c r="I176" s="21">
        <f t="shared" si="52"/>
        <v>222.27214822326326</v>
      </c>
      <c r="J176" s="21">
        <f t="shared" si="52"/>
        <v>311.21266037952466</v>
      </c>
      <c r="K176" s="21">
        <f t="shared" si="52"/>
        <v>399.9815493181913</v>
      </c>
      <c r="L176" s="21">
        <f t="shared" si="52"/>
        <v>498.24900806646264</v>
      </c>
      <c r="M176" s="21">
        <f t="shared" si="52"/>
        <v>606.79310228227428</v>
      </c>
      <c r="N176" s="21">
        <f t="shared" si="52"/>
        <v>726.44537470961984</v>
      </c>
      <c r="O176" s="21">
        <f t="shared" si="52"/>
        <v>858.09480375763223</v>
      </c>
      <c r="P176" s="21">
        <f t="shared" si="52"/>
        <v>1002.6952085953469</v>
      </c>
      <c r="Q176" s="21">
        <f t="shared" si="52"/>
        <v>1062.1353016148607</v>
      </c>
      <c r="R176" s="21">
        <f t="shared" si="52"/>
        <v>1124.9222287523978</v>
      </c>
      <c r="S176" s="21">
        <f t="shared" si="52"/>
        <v>1191.2436598356903</v>
      </c>
      <c r="T176" s="21">
        <f t="shared" si="52"/>
        <v>1261.2997506703716</v>
      </c>
      <c r="U176" s="21">
        <f t="shared" si="52"/>
        <v>1335.3049622950437</v>
      </c>
      <c r="V176" s="21">
        <f t="shared" si="52"/>
        <v>1413.489648301638</v>
      </c>
      <c r="W176" s="21">
        <f t="shared" si="52"/>
        <v>1496.0984272282221</v>
      </c>
      <c r="X176" s="21">
        <f t="shared" si="52"/>
        <v>1583.3917564094113</v>
      </c>
      <c r="Y176" s="21">
        <f t="shared" si="52"/>
        <v>1675.6447830667928</v>
      </c>
      <c r="Z176" s="21">
        <f t="shared" si="52"/>
        <v>1773.1510869950814</v>
      </c>
      <c r="AA176" s="21">
        <f t="shared" si="52"/>
        <v>1763.6545656900739</v>
      </c>
      <c r="AC176"/>
      <c r="AD176"/>
      <c r="AE176"/>
      <c r="AF176"/>
    </row>
    <row r="177" spans="1:32" s="27" customFormat="1">
      <c r="A177" s="366" t="s">
        <v>652</v>
      </c>
      <c r="B177" s="366" t="s">
        <v>2</v>
      </c>
      <c r="C177" s="21">
        <f>AVERAGE(C189,D189)/100*AVERAGE(C188:D188)</f>
        <v>210000</v>
      </c>
      <c r="D177" s="21">
        <f>$C177*((1+'Main calculations'!$C$239/100)^(D175-2016))</f>
        <v>219765</v>
      </c>
      <c r="E177" s="21">
        <f>$C177*((1+'Main calculations'!$C$239/100)^(E175-2016))</f>
        <v>229984.07250000001</v>
      </c>
      <c r="F177" s="21">
        <f>$C177*((1+'Main calculations'!$C$239/100)^(F175-2016))</f>
        <v>240678.33187125</v>
      </c>
      <c r="G177" s="21">
        <f>$C177*((1+'Main calculations'!$C$239/100)^(G175-2016))</f>
        <v>251869.87430326312</v>
      </c>
      <c r="H177" s="21">
        <f>$C177*((1+'Main calculations'!$C$239/100)^(H175-2016))</f>
        <v>263581.82345836487</v>
      </c>
      <c r="I177" s="21">
        <f>$C177*((1+'Main calculations'!$C$239/100)^(I175-2016))</f>
        <v>275838.37824917882</v>
      </c>
      <c r="J177" s="21">
        <f>$C177*((1+'Main calculations'!$C$239/100)^(J175-2016))</f>
        <v>288664.86283776566</v>
      </c>
      <c r="K177" s="21">
        <f>$C177*((1+'Main calculations'!$C$239/100)^(K175-2016))</f>
        <v>302087.77895972173</v>
      </c>
      <c r="L177" s="21">
        <f>$C177*((1+'Main calculations'!$C$239/100)^(L175-2016))</f>
        <v>316134.86068134877</v>
      </c>
      <c r="M177" s="21">
        <f>$C177*((1+'Main calculations'!$C$239/100)^(M175-2016))</f>
        <v>330835.13170303148</v>
      </c>
      <c r="N177" s="21">
        <f>$C177*((1+'Main calculations'!$C$239/100)^(N175-2016))</f>
        <v>346218.96532722248</v>
      </c>
      <c r="O177" s="21">
        <f>$C177*((1+'Main calculations'!$C$239/100)^(O175-2016))</f>
        <v>362318.1472149383</v>
      </c>
      <c r="P177" s="21">
        <f>$C177*((1+'Main calculations'!$C$239/100)^(P175-2016))</f>
        <v>379165.94106043293</v>
      </c>
      <c r="Q177" s="21">
        <f>$C177*((1+'Main calculations'!$C$239/100)^(Q175-2016))</f>
        <v>396797.15731974307</v>
      </c>
      <c r="R177" s="21">
        <f>$C177*((1+'Main calculations'!$C$239/100)^(R175-2016))</f>
        <v>415248.22513511108</v>
      </c>
      <c r="S177" s="21">
        <f>$C177*((1+'Main calculations'!$C$239/100)^(S175-2016))</f>
        <v>434557.26760389382</v>
      </c>
      <c r="T177" s="21">
        <f>$C177*((1+'Main calculations'!$C$239/100)^(T175-2016))</f>
        <v>454764.18054747488</v>
      </c>
      <c r="U177" s="21">
        <f>$C177*((1+'Main calculations'!$C$239/100)^(U175-2016))</f>
        <v>475910.71494293248</v>
      </c>
      <c r="V177" s="21">
        <f>$C177*((1+'Main calculations'!$C$239/100)^(V175-2016))</f>
        <v>498040.56318777881</v>
      </c>
      <c r="W177" s="21">
        <f>$C177*((1+'Main calculations'!$C$239/100)^(W175-2016))</f>
        <v>521199.44937601045</v>
      </c>
      <c r="X177" s="21">
        <f>$C177*((1+'Main calculations'!$C$239/100)^(X175-2016))</f>
        <v>545435.22377199493</v>
      </c>
      <c r="Y177" s="21">
        <f>$C177*((1+'Main calculations'!$C$239/100)^(Y175-2016))</f>
        <v>570797.96167739283</v>
      </c>
      <c r="Z177" s="21">
        <f>$C177*((1+'Main calculations'!$C$239/100)^(Z175-2016))</f>
        <v>597340.06689539156</v>
      </c>
      <c r="AA177" s="21">
        <f>$C177*((1+'Main calculations'!$C$239/100)^(AA175-2016))</f>
        <v>625116.38000602729</v>
      </c>
      <c r="AC177"/>
      <c r="AD177"/>
      <c r="AE177"/>
      <c r="AF177"/>
    </row>
    <row r="178" spans="1:32" s="27" customFormat="1">
      <c r="A178" s="241" t="s">
        <v>193</v>
      </c>
      <c r="B178" s="241" t="s">
        <v>661</v>
      </c>
      <c r="C178" s="230" t="s">
        <v>47</v>
      </c>
      <c r="D178" s="230" t="s">
        <v>47</v>
      </c>
      <c r="E178" s="230" t="s">
        <v>47</v>
      </c>
      <c r="F178" s="230" t="s">
        <v>47</v>
      </c>
      <c r="G178" s="190">
        <f t="shared" ref="G178:AA178" si="53">G179/365.25*G183</f>
        <v>282.06951912506418</v>
      </c>
      <c r="H178" s="190">
        <f t="shared" si="53"/>
        <v>540.4113702585779</v>
      </c>
      <c r="I178" s="190">
        <f t="shared" si="53"/>
        <v>805.8057389768785</v>
      </c>
      <c r="J178" s="190">
        <f t="shared" si="53"/>
        <v>1078.1106412470824</v>
      </c>
      <c r="K178" s="190">
        <f t="shared" si="53"/>
        <v>1324.0573673505739</v>
      </c>
      <c r="L178" s="190">
        <f t="shared" si="53"/>
        <v>1576.0647433586187</v>
      </c>
      <c r="M178" s="190">
        <f t="shared" si="53"/>
        <v>1834.125351678043</v>
      </c>
      <c r="N178" s="190">
        <f t="shared" si="53"/>
        <v>2098.2252489346833</v>
      </c>
      <c r="O178" s="190">
        <f t="shared" si="53"/>
        <v>2368.3461906438374</v>
      </c>
      <c r="P178" s="190">
        <f t="shared" si="53"/>
        <v>2644.4759405105256</v>
      </c>
      <c r="Q178" s="190">
        <f t="shared" si="53"/>
        <v>2676.7714486396426</v>
      </c>
      <c r="R178" s="190">
        <f t="shared" si="53"/>
        <v>2709.035609691955</v>
      </c>
      <c r="S178" s="190">
        <f t="shared" si="53"/>
        <v>2741.2811811987199</v>
      </c>
      <c r="T178" s="190">
        <f t="shared" si="53"/>
        <v>2773.5248390757961</v>
      </c>
      <c r="U178" s="190">
        <f t="shared" si="53"/>
        <v>2805.7888178776625</v>
      </c>
      <c r="V178" s="190">
        <f t="shared" si="53"/>
        <v>2838.1014575487552</v>
      </c>
      <c r="W178" s="190">
        <f t="shared" si="53"/>
        <v>2870.4911891587349</v>
      </c>
      <c r="X178" s="190">
        <f t="shared" si="53"/>
        <v>2902.9877195303893</v>
      </c>
      <c r="Y178" s="190">
        <f t="shared" si="53"/>
        <v>2935.6180217298047</v>
      </c>
      <c r="Z178" s="190">
        <f t="shared" si="53"/>
        <v>2968.4114380788765</v>
      </c>
      <c r="AA178" s="190">
        <f t="shared" si="53"/>
        <v>2821.3219523588054</v>
      </c>
      <c r="AC178"/>
      <c r="AD178"/>
      <c r="AE178"/>
      <c r="AF178"/>
    </row>
    <row r="179" spans="1:32" s="27" customFormat="1">
      <c r="A179" s="27" t="s">
        <v>521</v>
      </c>
      <c r="B179" s="366" t="s">
        <v>49</v>
      </c>
      <c r="C179" s="230" t="s">
        <v>47</v>
      </c>
      <c r="D179" s="230" t="s">
        <v>47</v>
      </c>
      <c r="E179" s="230" t="s">
        <v>47</v>
      </c>
      <c r="F179" s="230" t="s">
        <v>47</v>
      </c>
      <c r="G179" s="21">
        <f t="shared" ref="G179:AA179" si="54">G180*G182</f>
        <v>117261.00512939232</v>
      </c>
      <c r="H179" s="21">
        <f t="shared" si="54"/>
        <v>224658.02280386197</v>
      </c>
      <c r="I179" s="21">
        <f t="shared" si="54"/>
        <v>334986.88970206195</v>
      </c>
      <c r="J179" s="21">
        <f t="shared" si="54"/>
        <v>448188.58069267054</v>
      </c>
      <c r="K179" s="21">
        <f t="shared" si="54"/>
        <v>550432.73809271806</v>
      </c>
      <c r="L179" s="21">
        <f t="shared" si="54"/>
        <v>655196.40877356834</v>
      </c>
      <c r="M179" s="21">
        <f t="shared" si="54"/>
        <v>762476.50911798456</v>
      </c>
      <c r="N179" s="21">
        <f t="shared" si="54"/>
        <v>872267.24263269664</v>
      </c>
      <c r="O179" s="21">
        <f t="shared" si="54"/>
        <v>984561.02478102408</v>
      </c>
      <c r="P179" s="21">
        <f t="shared" si="54"/>
        <v>1099352.7687309938</v>
      </c>
      <c r="Q179" s="21">
        <f t="shared" si="54"/>
        <v>1112778.5502763784</v>
      </c>
      <c r="R179" s="21">
        <f t="shared" si="54"/>
        <v>1126191.3003189424</v>
      </c>
      <c r="S179" s="21">
        <f t="shared" si="54"/>
        <v>1139596.3223772757</v>
      </c>
      <c r="T179" s="21">
        <f t="shared" si="54"/>
        <v>1153000.5489078206</v>
      </c>
      <c r="U179" s="21">
        <f t="shared" si="54"/>
        <v>1166413.2231858335</v>
      </c>
      <c r="V179" s="21">
        <f t="shared" si="54"/>
        <v>1179846.1265990387</v>
      </c>
      <c r="W179" s="21">
        <f t="shared" si="54"/>
        <v>1193311.078417436</v>
      </c>
      <c r="X179" s="21">
        <f t="shared" si="54"/>
        <v>1206820.4282628847</v>
      </c>
      <c r="Y179" s="21">
        <f t="shared" si="54"/>
        <v>1220385.3892889742</v>
      </c>
      <c r="Z179" s="21">
        <f t="shared" si="54"/>
        <v>1234018.1595884615</v>
      </c>
      <c r="AA179" s="21">
        <f t="shared" si="54"/>
        <v>1172870.6063434277</v>
      </c>
      <c r="AB179" s="53"/>
      <c r="AC179"/>
      <c r="AD179"/>
      <c r="AE179"/>
      <c r="AF179"/>
    </row>
    <row r="180" spans="1:32" s="27" customFormat="1">
      <c r="A180" s="27" t="s">
        <v>522</v>
      </c>
      <c r="B180" s="241" t="s">
        <v>661</v>
      </c>
      <c r="C180" s="230" t="s">
        <v>47</v>
      </c>
      <c r="D180" s="230" t="s">
        <v>47</v>
      </c>
      <c r="E180" s="230" t="s">
        <v>47</v>
      </c>
      <c r="F180" s="230" t="s">
        <v>47</v>
      </c>
      <c r="G180" s="21">
        <f t="shared" ref="G180:AA180" si="55">G181*G59/100</f>
        <v>31464.995534230769</v>
      </c>
      <c r="H180" s="21">
        <f t="shared" si="55"/>
        <v>60283.157870363248</v>
      </c>
      <c r="I180" s="21">
        <f t="shared" si="55"/>
        <v>89888.032060363243</v>
      </c>
      <c r="J180" s="21">
        <f t="shared" si="55"/>
        <v>120263.77971455129</v>
      </c>
      <c r="K180" s="21">
        <f t="shared" si="55"/>
        <v>147699.25967179489</v>
      </c>
      <c r="L180" s="21">
        <f t="shared" si="55"/>
        <v>175810.80814850426</v>
      </c>
      <c r="M180" s="21">
        <f t="shared" si="55"/>
        <v>204597.59770846152</v>
      </c>
      <c r="N180" s="21">
        <f t="shared" si="55"/>
        <v>234058.0729613248</v>
      </c>
      <c r="O180" s="21">
        <f t="shared" si="55"/>
        <v>264190.19872572651</v>
      </c>
      <c r="P180" s="21">
        <f t="shared" si="55"/>
        <v>294992.61003685906</v>
      </c>
      <c r="Q180" s="21">
        <f t="shared" si="55"/>
        <v>298595.19007532054</v>
      </c>
      <c r="R180" s="21">
        <f t="shared" si="55"/>
        <v>302194.2733317308</v>
      </c>
      <c r="S180" s="21">
        <f t="shared" si="55"/>
        <v>305791.28291506408</v>
      </c>
      <c r="T180" s="21">
        <f t="shared" si="55"/>
        <v>309388.07903205132</v>
      </c>
      <c r="U180" s="21">
        <f t="shared" si="55"/>
        <v>312987.14195833338</v>
      </c>
      <c r="V180" s="21">
        <f t="shared" si="55"/>
        <v>316591.63302884618</v>
      </c>
      <c r="W180" s="21">
        <f t="shared" si="55"/>
        <v>320204.72374358977</v>
      </c>
      <c r="X180" s="21">
        <f t="shared" si="55"/>
        <v>323829.72791346157</v>
      </c>
      <c r="Y180" s="21">
        <f t="shared" si="55"/>
        <v>327469.65439743584</v>
      </c>
      <c r="Z180" s="21">
        <f t="shared" si="55"/>
        <v>331127.77634615381</v>
      </c>
      <c r="AA180" s="21">
        <f t="shared" si="55"/>
        <v>314719.8708565064</v>
      </c>
      <c r="AB180" s="53"/>
      <c r="AC180"/>
      <c r="AD180"/>
      <c r="AE180"/>
      <c r="AF180"/>
    </row>
    <row r="181" spans="1:32" s="27" customFormat="1">
      <c r="A181" s="27" t="s">
        <v>194</v>
      </c>
      <c r="B181" s="366" t="s">
        <v>144</v>
      </c>
      <c r="C181" s="21">
        <f>C193*'Main calculations'!C225/23.4</f>
        <v>658702.76791452989</v>
      </c>
      <c r="D181" s="21">
        <f>C181*'Main calculations'!D225/'Main calculations'!C225</f>
        <v>668872.52150000003</v>
      </c>
      <c r="E181" s="21">
        <f>D181*'Main calculations'!E225/'Main calculations'!D225</f>
        <v>679029.12826923071</v>
      </c>
      <c r="F181" s="21">
        <f>E181*'Main calculations'!F225/'Main calculations'!E225</f>
        <v>689153.12551282055</v>
      </c>
      <c r="G181" s="21">
        <f>F181*'Main calculations'!G225/'Main calculations'!F225</f>
        <v>699222.12298290594</v>
      </c>
      <c r="H181" s="21">
        <f>G181*'Main calculations'!H225/'Main calculations'!G225</f>
        <v>709213.62200427346</v>
      </c>
      <c r="I181" s="21">
        <f>H181*'Main calculations'!I225/'Main calculations'!H225</f>
        <v>719104.25648290594</v>
      </c>
      <c r="J181" s="21">
        <f>I181*'Main calculations'!J225/'Main calculations'!I225</f>
        <v>728871.3922094017</v>
      </c>
      <c r="K181" s="21">
        <f>J181*'Main calculations'!K225/'Main calculations'!J225</f>
        <v>738496.29835897451</v>
      </c>
      <c r="L181" s="21">
        <f>K181*'Main calculations'!L225/'Main calculations'!K225</f>
        <v>748131.09850427345</v>
      </c>
      <c r="M181" s="21">
        <f>L181*'Main calculations'!M225/'Main calculations'!L225</f>
        <v>757768.88040170935</v>
      </c>
      <c r="N181" s="21">
        <f>M181*'Main calculations'!N225/'Main calculations'!M225</f>
        <v>767403.51790598291</v>
      </c>
      <c r="O181" s="21">
        <f>N181*'Main calculations'!O225/'Main calculations'!N225</f>
        <v>777029.996252137</v>
      </c>
      <c r="P181" s="21">
        <f>O181*'Main calculations'!P225/'Main calculations'!O225</f>
        <v>786646.96009829082</v>
      </c>
      <c r="Q181" s="21">
        <f>P181*'Main calculations'!Q225/'Main calculations'!P225</f>
        <v>796253.84020085481</v>
      </c>
      <c r="R181" s="21">
        <f>Q181*'Main calculations'!R225/'Main calculations'!Q225</f>
        <v>805851.3955512821</v>
      </c>
      <c r="S181" s="21">
        <f>R181*'Main calculations'!S225/'Main calculations'!R225</f>
        <v>815443.42110683757</v>
      </c>
      <c r="T181" s="21">
        <f>S181*'Main calculations'!T225/'Main calculations'!S225</f>
        <v>825034.87741880352</v>
      </c>
      <c r="U181" s="21">
        <f>T181*'Main calculations'!U225/'Main calculations'!T225</f>
        <v>834632.37855555571</v>
      </c>
      <c r="V181" s="21">
        <f>U181*'Main calculations'!V225/'Main calculations'!U225</f>
        <v>844244.35474358976</v>
      </c>
      <c r="W181" s="21">
        <f>V181*'Main calculations'!W225/'Main calculations'!V225</f>
        <v>853879.26331623935</v>
      </c>
      <c r="X181" s="21">
        <f>W181*'Main calculations'!X225/'Main calculations'!W225</f>
        <v>863545.94110256422</v>
      </c>
      <c r="Y181" s="21">
        <f>X181*'Main calculations'!Y225/'Main calculations'!X225</f>
        <v>873252.4117264956</v>
      </c>
      <c r="Z181" s="21">
        <f>Y181*'Main calculations'!Z225/'Main calculations'!Y225</f>
        <v>883007.40358974354</v>
      </c>
      <c r="AA181" s="21">
        <f>Z181*'Main calculations'!AA225/'Main calculations'!Z225</f>
        <v>892822.32867094013</v>
      </c>
      <c r="AB181" s="53"/>
      <c r="AC181"/>
      <c r="AD181"/>
      <c r="AE181"/>
      <c r="AF181"/>
    </row>
    <row r="182" spans="1:32" s="27" customFormat="1">
      <c r="A182" s="27" t="s">
        <v>195</v>
      </c>
      <c r="B182" s="366" t="s">
        <v>6</v>
      </c>
      <c r="C182" s="53">
        <f>C194/C193</f>
        <v>3.7267129118713544</v>
      </c>
      <c r="D182" s="53">
        <f t="shared" ref="D182:AA182" si="56">$C$182</f>
        <v>3.7267129118713544</v>
      </c>
      <c r="E182" s="53">
        <f t="shared" si="56"/>
        <v>3.7267129118713544</v>
      </c>
      <c r="F182" s="53">
        <f t="shared" si="56"/>
        <v>3.7267129118713544</v>
      </c>
      <c r="G182" s="53">
        <f t="shared" si="56"/>
        <v>3.7267129118713544</v>
      </c>
      <c r="H182" s="53">
        <f t="shared" si="56"/>
        <v>3.7267129118713544</v>
      </c>
      <c r="I182" s="53">
        <f t="shared" si="56"/>
        <v>3.7267129118713544</v>
      </c>
      <c r="J182" s="53">
        <f t="shared" si="56"/>
        <v>3.7267129118713544</v>
      </c>
      <c r="K182" s="53">
        <f t="shared" si="56"/>
        <v>3.7267129118713544</v>
      </c>
      <c r="L182" s="53">
        <f t="shared" si="56"/>
        <v>3.7267129118713544</v>
      </c>
      <c r="M182" s="53">
        <f t="shared" si="56"/>
        <v>3.7267129118713544</v>
      </c>
      <c r="N182" s="53">
        <f t="shared" si="56"/>
        <v>3.7267129118713544</v>
      </c>
      <c r="O182" s="53">
        <f t="shared" si="56"/>
        <v>3.7267129118713544</v>
      </c>
      <c r="P182" s="53">
        <f t="shared" si="56"/>
        <v>3.7267129118713544</v>
      </c>
      <c r="Q182" s="53">
        <f t="shared" si="56"/>
        <v>3.7267129118713544</v>
      </c>
      <c r="R182" s="53">
        <f t="shared" si="56"/>
        <v>3.7267129118713544</v>
      </c>
      <c r="S182" s="53">
        <f t="shared" si="56"/>
        <v>3.7267129118713544</v>
      </c>
      <c r="T182" s="53">
        <f t="shared" si="56"/>
        <v>3.7267129118713544</v>
      </c>
      <c r="U182" s="53">
        <f t="shared" si="56"/>
        <v>3.7267129118713544</v>
      </c>
      <c r="V182" s="53">
        <f t="shared" si="56"/>
        <v>3.7267129118713544</v>
      </c>
      <c r="W182" s="53">
        <f t="shared" si="56"/>
        <v>3.7267129118713544</v>
      </c>
      <c r="X182" s="53">
        <f t="shared" si="56"/>
        <v>3.7267129118713544</v>
      </c>
      <c r="Y182" s="53">
        <f t="shared" si="56"/>
        <v>3.7267129118713544</v>
      </c>
      <c r="Z182" s="53">
        <f t="shared" si="56"/>
        <v>3.7267129118713544</v>
      </c>
      <c r="AA182" s="53">
        <f t="shared" si="56"/>
        <v>3.7267129118713544</v>
      </c>
      <c r="AB182" s="53"/>
      <c r="AC182"/>
      <c r="AD182"/>
      <c r="AE182"/>
      <c r="AF182"/>
    </row>
    <row r="183" spans="1:32" s="27" customFormat="1" ht="15" thickBot="1">
      <c r="A183" s="225" t="s">
        <v>192</v>
      </c>
      <c r="B183" s="368" t="s">
        <v>886</v>
      </c>
      <c r="C183" s="252">
        <f>'AIHW Hospital resources'!$C$74/365.25/'AIHW Hospital resources'!$F$12</f>
        <v>0.87860317883805594</v>
      </c>
      <c r="D183" s="252">
        <f t="shared" ref="D183:AA183" si="57">C183</f>
        <v>0.87860317883805594</v>
      </c>
      <c r="E183" s="252">
        <f t="shared" si="57"/>
        <v>0.87860317883805594</v>
      </c>
      <c r="F183" s="252">
        <f t="shared" si="57"/>
        <v>0.87860317883805594</v>
      </c>
      <c r="G183" s="252">
        <f t="shared" si="57"/>
        <v>0.87860317883805594</v>
      </c>
      <c r="H183" s="252">
        <f t="shared" si="57"/>
        <v>0.87860317883805594</v>
      </c>
      <c r="I183" s="252">
        <f t="shared" si="57"/>
        <v>0.87860317883805594</v>
      </c>
      <c r="J183" s="252">
        <f t="shared" si="57"/>
        <v>0.87860317883805594</v>
      </c>
      <c r="K183" s="252">
        <f t="shared" si="57"/>
        <v>0.87860317883805594</v>
      </c>
      <c r="L183" s="252">
        <f t="shared" si="57"/>
        <v>0.87860317883805594</v>
      </c>
      <c r="M183" s="252">
        <f t="shared" si="57"/>
        <v>0.87860317883805594</v>
      </c>
      <c r="N183" s="252">
        <f t="shared" si="57"/>
        <v>0.87860317883805594</v>
      </c>
      <c r="O183" s="252">
        <f t="shared" si="57"/>
        <v>0.87860317883805594</v>
      </c>
      <c r="P183" s="252">
        <f t="shared" si="57"/>
        <v>0.87860317883805594</v>
      </c>
      <c r="Q183" s="252">
        <f t="shared" si="57"/>
        <v>0.87860317883805594</v>
      </c>
      <c r="R183" s="252">
        <f t="shared" si="57"/>
        <v>0.87860317883805594</v>
      </c>
      <c r="S183" s="252">
        <f t="shared" si="57"/>
        <v>0.87860317883805594</v>
      </c>
      <c r="T183" s="252">
        <f t="shared" si="57"/>
        <v>0.87860317883805594</v>
      </c>
      <c r="U183" s="252">
        <f t="shared" si="57"/>
        <v>0.87860317883805594</v>
      </c>
      <c r="V183" s="252">
        <f t="shared" si="57"/>
        <v>0.87860317883805594</v>
      </c>
      <c r="W183" s="252">
        <f t="shared" si="57"/>
        <v>0.87860317883805594</v>
      </c>
      <c r="X183" s="252">
        <f t="shared" si="57"/>
        <v>0.87860317883805594</v>
      </c>
      <c r="Y183" s="252">
        <f t="shared" si="57"/>
        <v>0.87860317883805594</v>
      </c>
      <c r="Z183" s="252">
        <f t="shared" si="57"/>
        <v>0.87860317883805594</v>
      </c>
      <c r="AA183" s="252">
        <f t="shared" si="57"/>
        <v>0.87860317883805594</v>
      </c>
      <c r="AB183" s="225"/>
      <c r="AC183"/>
      <c r="AD183"/>
      <c r="AE183"/>
      <c r="AF183"/>
    </row>
    <row r="184" spans="1:32" s="27" customFormat="1">
      <c r="B184" s="366"/>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C184"/>
      <c r="AD184"/>
      <c r="AE184"/>
      <c r="AF184"/>
    </row>
    <row r="185" spans="1:32" s="39" customFormat="1" ht="15" thickBot="1">
      <c r="A185" s="368" t="s">
        <v>885</v>
      </c>
      <c r="B185" s="369">
        <v>9</v>
      </c>
      <c r="C185" s="353"/>
      <c r="D185" s="353"/>
      <c r="E185" s="353"/>
      <c r="F185" s="353"/>
      <c r="G185" s="353"/>
      <c r="H185" s="353"/>
      <c r="I185" s="353"/>
      <c r="J185" s="353"/>
      <c r="K185" s="353"/>
      <c r="L185" s="353"/>
      <c r="M185" s="353"/>
      <c r="N185" s="353"/>
      <c r="O185" s="353"/>
      <c r="P185" s="353"/>
      <c r="Q185" s="353"/>
      <c r="R185" s="353"/>
      <c r="S185" s="353"/>
      <c r="T185" s="353"/>
      <c r="U185" s="353"/>
      <c r="V185" s="353"/>
      <c r="W185" s="353"/>
      <c r="X185" s="353"/>
      <c r="Y185" s="353"/>
      <c r="Z185" s="353"/>
      <c r="AA185" s="353"/>
      <c r="AB185" s="225"/>
      <c r="AC185"/>
      <c r="AD185"/>
      <c r="AE185"/>
      <c r="AF185"/>
    </row>
    <row r="186" spans="1:32" s="27" customFormat="1">
      <c r="A186" s="27" t="s">
        <v>883</v>
      </c>
      <c r="B186" s="366"/>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C186"/>
      <c r="AD186"/>
      <c r="AE186"/>
      <c r="AF186"/>
    </row>
    <row r="187" spans="1:32" s="27" customFormat="1">
      <c r="A187" s="241"/>
      <c r="B187" s="241"/>
      <c r="C187" s="242" t="s">
        <v>656</v>
      </c>
      <c r="D187" s="242" t="s">
        <v>657</v>
      </c>
      <c r="E187" s="242"/>
      <c r="F187" s="242"/>
      <c r="G187" s="190"/>
      <c r="H187" s="190"/>
      <c r="I187" s="190"/>
      <c r="J187" s="190"/>
      <c r="K187" s="190"/>
      <c r="L187" s="190"/>
      <c r="M187" s="190"/>
      <c r="N187" s="190"/>
      <c r="O187" s="190"/>
      <c r="P187" s="190"/>
      <c r="Q187" s="190"/>
      <c r="R187" s="190"/>
      <c r="S187" s="190"/>
      <c r="T187" s="190"/>
      <c r="U187" s="190"/>
      <c r="V187" s="190"/>
      <c r="W187" s="190"/>
      <c r="X187" s="190"/>
      <c r="Y187" s="190"/>
      <c r="Z187" s="190"/>
      <c r="AA187" s="190"/>
      <c r="AC187"/>
      <c r="AD187"/>
      <c r="AE187"/>
      <c r="AF187"/>
    </row>
    <row r="188" spans="1:32" s="27" customFormat="1">
      <c r="A188" s="27" t="s">
        <v>291</v>
      </c>
      <c r="B188" s="366" t="s">
        <v>2</v>
      </c>
      <c r="C188" s="21">
        <v>500000</v>
      </c>
      <c r="D188" s="21">
        <v>200000</v>
      </c>
      <c r="E188" s="224"/>
      <c r="F188" s="224"/>
      <c r="AC188"/>
      <c r="AD188"/>
      <c r="AE188"/>
      <c r="AF188"/>
    </row>
    <row r="189" spans="1:32" s="27" customFormat="1" ht="23.15">
      <c r="A189" s="241" t="s">
        <v>292</v>
      </c>
      <c r="B189" s="241" t="s">
        <v>7</v>
      </c>
      <c r="C189" s="242">
        <v>90</v>
      </c>
      <c r="D189" s="242">
        <v>30</v>
      </c>
      <c r="E189" s="242"/>
      <c r="F189" s="242"/>
      <c r="G189" s="190"/>
      <c r="H189" s="190"/>
      <c r="I189" s="190"/>
      <c r="J189" s="190"/>
      <c r="K189" s="190"/>
      <c r="L189" s="190"/>
      <c r="M189" s="190"/>
      <c r="N189" s="190"/>
      <c r="O189" s="190"/>
      <c r="P189" s="190"/>
      <c r="Q189" s="190"/>
      <c r="R189" s="190"/>
      <c r="S189" s="190"/>
      <c r="T189" s="190"/>
      <c r="U189" s="190"/>
      <c r="V189" s="190"/>
      <c r="W189" s="190"/>
      <c r="X189" s="190"/>
      <c r="Y189" s="190"/>
      <c r="Z189" s="190"/>
      <c r="AA189" s="190"/>
      <c r="AB189" s="39"/>
      <c r="AC189"/>
      <c r="AD189"/>
      <c r="AE189"/>
      <c r="AF189"/>
    </row>
    <row r="190" spans="1:32" s="27" customFormat="1">
      <c r="AC190"/>
      <c r="AD190"/>
      <c r="AE190"/>
      <c r="AF190"/>
    </row>
    <row r="191" spans="1:32" s="27" customFormat="1">
      <c r="A191" s="27" t="s">
        <v>884</v>
      </c>
      <c r="AC191"/>
      <c r="AD191"/>
      <c r="AE191"/>
      <c r="AF191"/>
    </row>
    <row r="192" spans="1:32" s="27" customFormat="1">
      <c r="A192" s="241"/>
      <c r="B192" s="241"/>
      <c r="C192" s="26" t="s">
        <v>663</v>
      </c>
      <c r="D192" s="242"/>
      <c r="E192" s="242"/>
      <c r="F192" s="242"/>
      <c r="G192" s="190"/>
      <c r="H192" s="190"/>
      <c r="I192" s="190"/>
      <c r="J192" s="190"/>
      <c r="K192" s="190"/>
      <c r="L192" s="190"/>
      <c r="M192" s="190"/>
      <c r="N192" s="190"/>
      <c r="O192" s="190"/>
      <c r="P192" s="190"/>
      <c r="Q192" s="190"/>
      <c r="R192" s="190"/>
      <c r="S192" s="190"/>
      <c r="T192" s="190"/>
      <c r="U192" s="190"/>
      <c r="V192" s="190"/>
      <c r="W192" s="190"/>
      <c r="X192" s="190"/>
      <c r="Y192" s="190"/>
      <c r="Z192" s="190"/>
      <c r="AA192" s="190"/>
      <c r="AB192" s="39"/>
      <c r="AC192"/>
      <c r="AD192"/>
      <c r="AE192"/>
      <c r="AF192"/>
    </row>
    <row r="193" spans="1:32" s="27" customFormat="1">
      <c r="A193" s="27" t="s">
        <v>137</v>
      </c>
      <c r="B193" s="366" t="s">
        <v>144</v>
      </c>
      <c r="C193" s="21">
        <v>634300</v>
      </c>
      <c r="AC193"/>
      <c r="AD193"/>
      <c r="AE193"/>
      <c r="AF193"/>
    </row>
    <row r="194" spans="1:32" s="27" customFormat="1" ht="15" thickBot="1">
      <c r="A194" s="225" t="s">
        <v>51</v>
      </c>
      <c r="B194" s="368" t="s">
        <v>6</v>
      </c>
      <c r="C194" s="243">
        <v>2363854</v>
      </c>
      <c r="D194" s="243"/>
      <c r="E194" s="243"/>
      <c r="F194" s="243"/>
      <c r="G194" s="225"/>
      <c r="H194" s="225"/>
      <c r="I194" s="225"/>
      <c r="J194" s="225"/>
      <c r="K194" s="225"/>
      <c r="L194" s="225"/>
      <c r="M194" s="225"/>
      <c r="N194" s="225"/>
      <c r="O194" s="225"/>
      <c r="P194" s="225"/>
      <c r="Q194" s="225"/>
      <c r="R194" s="225"/>
      <c r="S194" s="225"/>
      <c r="T194" s="225"/>
      <c r="U194" s="225"/>
      <c r="V194" s="225"/>
      <c r="W194" s="225"/>
      <c r="X194" s="225"/>
      <c r="Y194" s="225"/>
      <c r="Z194" s="225"/>
      <c r="AA194" s="225"/>
      <c r="AB194" s="225"/>
      <c r="AC194"/>
      <c r="AD194"/>
      <c r="AE194"/>
      <c r="AF194"/>
    </row>
    <row r="195" spans="1:32" s="27" customFormat="1">
      <c r="B195" s="366"/>
      <c r="AC195"/>
      <c r="AD195"/>
      <c r="AE195"/>
      <c r="AF195"/>
    </row>
    <row r="196" spans="1:32" s="27" customFormat="1">
      <c r="B196" s="366"/>
      <c r="AC196"/>
      <c r="AD196"/>
      <c r="AE196"/>
      <c r="AF196"/>
    </row>
    <row r="197" spans="1:32" s="27" customFormat="1">
      <c r="A197" s="27" t="s">
        <v>650</v>
      </c>
      <c r="B197" s="27">
        <v>10</v>
      </c>
      <c r="C197" s="27" t="s">
        <v>673</v>
      </c>
      <c r="AC197"/>
      <c r="AD197"/>
      <c r="AE197"/>
      <c r="AF197"/>
    </row>
    <row r="198" spans="1:32" s="27" customFormat="1" ht="15" thickBot="1">
      <c r="C198" s="27" t="s">
        <v>578</v>
      </c>
      <c r="AC198"/>
      <c r="AD198"/>
      <c r="AE198"/>
      <c r="AF198"/>
    </row>
    <row r="199" spans="1:32" s="27" customFormat="1" ht="15" thickBot="1">
      <c r="A199" s="14"/>
      <c r="B199" s="14" t="s">
        <v>91</v>
      </c>
      <c r="C199" s="15">
        <v>2016</v>
      </c>
      <c r="D199" s="15">
        <v>2017</v>
      </c>
      <c r="E199" s="15">
        <v>2018</v>
      </c>
      <c r="F199" s="15">
        <v>2019</v>
      </c>
      <c r="G199" s="15">
        <v>2020</v>
      </c>
      <c r="H199" s="15">
        <v>2021</v>
      </c>
      <c r="I199" s="15">
        <v>2022</v>
      </c>
      <c r="J199" s="15">
        <v>2023</v>
      </c>
      <c r="K199" s="15">
        <v>2024</v>
      </c>
      <c r="L199" s="15">
        <v>2025</v>
      </c>
      <c r="M199" s="15">
        <v>2026</v>
      </c>
      <c r="N199" s="15">
        <v>2027</v>
      </c>
      <c r="O199" s="15">
        <v>2028</v>
      </c>
      <c r="P199" s="15">
        <v>2029</v>
      </c>
      <c r="Q199" s="15">
        <v>2030</v>
      </c>
      <c r="R199" s="15">
        <v>2031</v>
      </c>
      <c r="S199" s="15">
        <v>2032</v>
      </c>
      <c r="T199" s="15">
        <v>2033</v>
      </c>
      <c r="U199" s="15">
        <v>2034</v>
      </c>
      <c r="V199" s="15">
        <v>2035</v>
      </c>
      <c r="W199" s="15">
        <v>2036</v>
      </c>
      <c r="X199" s="15">
        <v>2037</v>
      </c>
      <c r="Y199" s="15">
        <v>2038</v>
      </c>
      <c r="Z199" s="15">
        <v>2039</v>
      </c>
      <c r="AA199" s="15">
        <v>2040</v>
      </c>
      <c r="AB199" s="292"/>
      <c r="AC199"/>
      <c r="AD199"/>
      <c r="AE199"/>
      <c r="AF199"/>
    </row>
    <row r="200" spans="1:32" s="27" customFormat="1">
      <c r="A200" s="366" t="s">
        <v>669</v>
      </c>
      <c r="B200" s="366" t="s">
        <v>15</v>
      </c>
      <c r="C200" s="230" t="s">
        <v>47</v>
      </c>
      <c r="D200" s="230" t="s">
        <v>47</v>
      </c>
      <c r="E200" s="230" t="s">
        <v>47</v>
      </c>
      <c r="F200" s="230" t="s">
        <v>47</v>
      </c>
      <c r="G200" s="21">
        <f t="shared" ref="G200:AA200" si="58">G201+G203</f>
        <v>698.81232146752541</v>
      </c>
      <c r="H200" s="21">
        <f t="shared" si="58"/>
        <v>1381.3578450075565</v>
      </c>
      <c r="I200" s="21">
        <f t="shared" si="58"/>
        <v>2125.8690952947172</v>
      </c>
      <c r="J200" s="21">
        <f t="shared" si="58"/>
        <v>2936.6330508582168</v>
      </c>
      <c r="K200" s="21">
        <f t="shared" si="58"/>
        <v>3725.0745305734831</v>
      </c>
      <c r="L200" s="21">
        <f t="shared" si="58"/>
        <v>4580.4913330880509</v>
      </c>
      <c r="M200" s="21">
        <f t="shared" si="58"/>
        <v>5507.4073558327427</v>
      </c>
      <c r="N200" s="21">
        <f t="shared" si="58"/>
        <v>6510.6224013077208</v>
      </c>
      <c r="O200" s="21">
        <f t="shared" si="58"/>
        <v>7595.2280544567184</v>
      </c>
      <c r="P200" s="21">
        <f t="shared" si="58"/>
        <v>8766.6244400613505</v>
      </c>
      <c r="Q200" s="21">
        <f t="shared" si="58"/>
        <v>9174.2724765242019</v>
      </c>
      <c r="R200" s="21">
        <f t="shared" si="58"/>
        <v>9600.8761466825763</v>
      </c>
      <c r="S200" s="21">
        <f t="shared" si="58"/>
        <v>10047.316887503319</v>
      </c>
      <c r="T200" s="21">
        <f t="shared" si="58"/>
        <v>10514.517122772224</v>
      </c>
      <c r="U200" s="21">
        <f t="shared" si="58"/>
        <v>11003.442168981132</v>
      </c>
      <c r="V200" s="21">
        <f t="shared" si="58"/>
        <v>11515.102229838754</v>
      </c>
      <c r="W200" s="21">
        <f t="shared" si="58"/>
        <v>12050.554483526254</v>
      </c>
      <c r="X200" s="21">
        <f t="shared" si="58"/>
        <v>12610.905267010225</v>
      </c>
      <c r="Y200" s="21">
        <f t="shared" si="58"/>
        <v>13197.312361926201</v>
      </c>
      <c r="Z200" s="21">
        <f t="shared" si="58"/>
        <v>13810.987386755769</v>
      </c>
      <c r="AA200" s="21">
        <f t="shared" si="58"/>
        <v>13586.006402225521</v>
      </c>
      <c r="AC200"/>
      <c r="AD200"/>
      <c r="AE200"/>
      <c r="AF200"/>
    </row>
    <row r="201" spans="1:32" s="27" customFormat="1">
      <c r="A201" s="366" t="s">
        <v>870</v>
      </c>
      <c r="B201" s="366" t="s">
        <v>15</v>
      </c>
      <c r="C201" s="230" t="s">
        <v>47</v>
      </c>
      <c r="D201" s="230" t="s">
        <v>47</v>
      </c>
      <c r="E201" s="230" t="s">
        <v>47</v>
      </c>
      <c r="F201" s="230" t="s">
        <v>47</v>
      </c>
      <c r="G201" s="21">
        <f t="shared" ref="G201:AA201" si="59">0.1*G59/100*G202</f>
        <v>278.10704181003541</v>
      </c>
      <c r="H201" s="21">
        <f t="shared" si="59"/>
        <v>549.7403697023816</v>
      </c>
      <c r="I201" s="21">
        <f t="shared" si="59"/>
        <v>846.03426013756234</v>
      </c>
      <c r="J201" s="21">
        <f t="shared" si="59"/>
        <v>1168.6948062688259</v>
      </c>
      <c r="K201" s="21">
        <f t="shared" si="59"/>
        <v>1482.4716542549409</v>
      </c>
      <c r="L201" s="21">
        <f t="shared" si="59"/>
        <v>1822.9027387589097</v>
      </c>
      <c r="M201" s="21">
        <f t="shared" si="59"/>
        <v>2191.7884397873354</v>
      </c>
      <c r="N201" s="21">
        <f t="shared" si="59"/>
        <v>2591.0389395645229</v>
      </c>
      <c r="O201" s="21">
        <f t="shared" si="59"/>
        <v>3022.6805412670578</v>
      </c>
      <c r="P201" s="21">
        <f t="shared" si="59"/>
        <v>3488.8623379808564</v>
      </c>
      <c r="Q201" s="21">
        <f t="shared" si="59"/>
        <v>3651.0944366969666</v>
      </c>
      <c r="R201" s="21">
        <f t="shared" si="59"/>
        <v>3820.8703280033747</v>
      </c>
      <c r="S201" s="21">
        <f t="shared" si="59"/>
        <v>3998.5407982555316</v>
      </c>
      <c r="T201" s="21">
        <f t="shared" si="59"/>
        <v>4184.4729453744148</v>
      </c>
      <c r="U201" s="21">
        <f t="shared" si="59"/>
        <v>4379.0509373343248</v>
      </c>
      <c r="V201" s="21">
        <f t="shared" si="59"/>
        <v>4582.6768059203714</v>
      </c>
      <c r="W201" s="21">
        <f t="shared" si="59"/>
        <v>4795.7712773956673</v>
      </c>
      <c r="X201" s="21">
        <f t="shared" si="59"/>
        <v>5018.7746417945655</v>
      </c>
      <c r="Y201" s="21">
        <f t="shared" si="59"/>
        <v>5252.1476626380136</v>
      </c>
      <c r="Z201" s="21">
        <f t="shared" si="59"/>
        <v>5496.372528950681</v>
      </c>
      <c r="AA201" s="21">
        <f t="shared" si="59"/>
        <v>5406.8366204540753</v>
      </c>
      <c r="AC201"/>
      <c r="AD201"/>
      <c r="AE201"/>
      <c r="AF201"/>
    </row>
    <row r="202" spans="1:32" s="27" customFormat="1">
      <c r="A202" s="366" t="s">
        <v>871</v>
      </c>
      <c r="B202" s="366" t="s">
        <v>15</v>
      </c>
      <c r="C202" s="21">
        <f>'AIHW Health spending &amp; PC ests'!C7</f>
        <v>51527.911599999992</v>
      </c>
      <c r="D202" s="21">
        <f>$C202*((1+'Main calculations'!$C$239/100)^(D199-2016))</f>
        <v>53923.959489399989</v>
      </c>
      <c r="E202" s="21">
        <f>$C202*((1+'Main calculations'!$C$239/100)^(E199-2016))</f>
        <v>56431.423605657088</v>
      </c>
      <c r="F202" s="21">
        <f>$C202*((1+'Main calculations'!$C$239/100)^(F199-2016))</f>
        <v>59055.484803320149</v>
      </c>
      <c r="G202" s="21">
        <f>$C202*((1+'Main calculations'!$C$239/100)^(G199-2016))</f>
        <v>61801.564846674533</v>
      </c>
      <c r="H202" s="21">
        <f>$C202*((1+'Main calculations'!$C$239/100)^(H199-2016))</f>
        <v>64675.337612044896</v>
      </c>
      <c r="I202" s="21">
        <f>$C202*((1+'Main calculations'!$C$239/100)^(I199-2016))</f>
        <v>67682.740811004987</v>
      </c>
      <c r="J202" s="21">
        <f>$C202*((1+'Main calculations'!$C$239/100)^(J199-2016))</f>
        <v>70829.988258716723</v>
      </c>
      <c r="K202" s="21">
        <f>$C202*((1+'Main calculations'!$C$239/100)^(K199-2016))</f>
        <v>74123.58271274704</v>
      </c>
      <c r="L202" s="21">
        <f>$C202*((1+'Main calculations'!$C$239/100)^(L199-2016))</f>
        <v>77570.329308889777</v>
      </c>
      <c r="M202" s="21">
        <f>$C202*((1+'Main calculations'!$C$239/100)^(M199-2016))</f>
        <v>81177.34962175315</v>
      </c>
      <c r="N202" s="21">
        <f>$C202*((1+'Main calculations'!$C$239/100)^(N199-2016))</f>
        <v>84952.096379164679</v>
      </c>
      <c r="O202" s="21">
        <f>$C202*((1+'Main calculations'!$C$239/100)^(O199-2016))</f>
        <v>88902.368860795832</v>
      </c>
      <c r="P202" s="21">
        <f>$C202*((1+'Main calculations'!$C$239/100)^(P199-2016))</f>
        <v>93036.32901282284</v>
      </c>
      <c r="Q202" s="21">
        <f>$C202*((1+'Main calculations'!$C$239/100)^(Q199-2016))</f>
        <v>97362.518311919106</v>
      </c>
      <c r="R202" s="21">
        <f>$C202*((1+'Main calculations'!$C$239/100)^(R199-2016))</f>
        <v>101889.87541342333</v>
      </c>
      <c r="S202" s="21">
        <f>$C202*((1+'Main calculations'!$C$239/100)^(S199-2016))</f>
        <v>106627.75462014752</v>
      </c>
      <c r="T202" s="21">
        <f>$C202*((1+'Main calculations'!$C$239/100)^(T199-2016))</f>
        <v>111585.94520998439</v>
      </c>
      <c r="U202" s="21">
        <f>$C202*((1+'Main calculations'!$C$239/100)^(U199-2016))</f>
        <v>116774.69166224866</v>
      </c>
      <c r="V202" s="21">
        <f>$C202*((1+'Main calculations'!$C$239/100)^(V199-2016))</f>
        <v>122204.71482454323</v>
      </c>
      <c r="W202" s="21">
        <f>$C202*((1+'Main calculations'!$C$239/100)^(W199-2016))</f>
        <v>127887.23406388448</v>
      </c>
      <c r="X202" s="21">
        <f>$C202*((1+'Main calculations'!$C$239/100)^(X199-2016))</f>
        <v>133833.99044785509</v>
      </c>
      <c r="Y202" s="21">
        <f>$C202*((1+'Main calculations'!$C$239/100)^(Y199-2016))</f>
        <v>140057.27100368036</v>
      </c>
      <c r="Z202" s="21">
        <f>$C202*((1+'Main calculations'!$C$239/100)^(Z199-2016))</f>
        <v>146569.93410535151</v>
      </c>
      <c r="AA202" s="21">
        <f>$C202*((1+'Main calculations'!$C$239/100)^(AA199-2016))</f>
        <v>153385.43604125036</v>
      </c>
      <c r="AC202"/>
      <c r="AD202"/>
      <c r="AE202"/>
      <c r="AF202"/>
    </row>
    <row r="203" spans="1:32" s="27" customFormat="1">
      <c r="A203" s="366" t="s">
        <v>872</v>
      </c>
      <c r="B203" s="366" t="s">
        <v>15</v>
      </c>
      <c r="C203" s="230" t="s">
        <v>47</v>
      </c>
      <c r="D203" s="230" t="s">
        <v>47</v>
      </c>
      <c r="E203" s="230" t="s">
        <v>47</v>
      </c>
      <c r="F203" s="230" t="s">
        <v>47</v>
      </c>
      <c r="G203" s="21">
        <f t="shared" ref="G203:AA203" si="60">0.1*G59/100*G204</f>
        <v>420.70527965748994</v>
      </c>
      <c r="H203" s="21">
        <f t="shared" si="60"/>
        <v>831.61747530517482</v>
      </c>
      <c r="I203" s="21">
        <f t="shared" si="60"/>
        <v>1279.8348351571551</v>
      </c>
      <c r="J203" s="21">
        <f t="shared" si="60"/>
        <v>1767.9382445893909</v>
      </c>
      <c r="K203" s="21">
        <f t="shared" si="60"/>
        <v>2242.6028763185423</v>
      </c>
      <c r="L203" s="21">
        <f t="shared" si="60"/>
        <v>2757.5885943291414</v>
      </c>
      <c r="M203" s="21">
        <f t="shared" si="60"/>
        <v>3315.6189160454073</v>
      </c>
      <c r="N203" s="21">
        <f t="shared" si="60"/>
        <v>3919.5834617431974</v>
      </c>
      <c r="O203" s="21">
        <f t="shared" si="60"/>
        <v>4572.5475131896601</v>
      </c>
      <c r="P203" s="21">
        <f t="shared" si="60"/>
        <v>5277.7621020804936</v>
      </c>
      <c r="Q203" s="21">
        <f t="shared" si="60"/>
        <v>5523.1780398272358</v>
      </c>
      <c r="R203" s="21">
        <f t="shared" si="60"/>
        <v>5780.0058186792021</v>
      </c>
      <c r="S203" s="21">
        <f t="shared" si="60"/>
        <v>6048.7760892477863</v>
      </c>
      <c r="T203" s="21">
        <f t="shared" si="60"/>
        <v>6330.0441773978082</v>
      </c>
      <c r="U203" s="21">
        <f t="shared" si="60"/>
        <v>6624.3912316468059</v>
      </c>
      <c r="V203" s="21">
        <f t="shared" si="60"/>
        <v>6932.425423918382</v>
      </c>
      <c r="W203" s="21">
        <f t="shared" si="60"/>
        <v>7254.7832061305862</v>
      </c>
      <c r="X203" s="21">
        <f t="shared" si="60"/>
        <v>7592.1306252156583</v>
      </c>
      <c r="Y203" s="21">
        <f t="shared" si="60"/>
        <v>7945.1646992881879</v>
      </c>
      <c r="Z203" s="21">
        <f t="shared" si="60"/>
        <v>8314.614857805087</v>
      </c>
      <c r="AA203" s="21">
        <f t="shared" si="60"/>
        <v>8179.1697817714448</v>
      </c>
      <c r="AC203"/>
      <c r="AD203"/>
      <c r="AE203"/>
      <c r="AF203"/>
    </row>
    <row r="204" spans="1:32" s="27" customFormat="1" ht="15" thickBot="1">
      <c r="A204" s="368" t="s">
        <v>873</v>
      </c>
      <c r="B204" s="368" t="s">
        <v>15</v>
      </c>
      <c r="C204" s="22">
        <f>C169</f>
        <v>77948.635599999994</v>
      </c>
      <c r="D204" s="22">
        <f>$C204*((1+'Main calculations'!$C$239/100)^(D199-2016))</f>
        <v>81573.247155399993</v>
      </c>
      <c r="E204" s="22">
        <f>$C204*((1+'Main calculations'!$C$239/100)^(E199-2016))</f>
        <v>85366.40314812609</v>
      </c>
      <c r="F204" s="22">
        <f>$C204*((1+'Main calculations'!$C$239/100)^(F199-2016))</f>
        <v>89335.940894513958</v>
      </c>
      <c r="G204" s="22">
        <f>$C204*((1+'Main calculations'!$C$239/100)^(G199-2016))</f>
        <v>93490.062146108859</v>
      </c>
      <c r="H204" s="22">
        <f>$C204*((1+'Main calculations'!$C$239/100)^(H199-2016))</f>
        <v>97837.350035902913</v>
      </c>
      <c r="I204" s="22">
        <f>$C204*((1+'Main calculations'!$C$239/100)^(I199-2016))</f>
        <v>102386.78681257241</v>
      </c>
      <c r="J204" s="22">
        <f>$C204*((1+'Main calculations'!$C$239/100)^(J199-2016))</f>
        <v>107147.77239935703</v>
      </c>
      <c r="K204" s="22">
        <f>$C204*((1+'Main calculations'!$C$239/100)^(K199-2016))</f>
        <v>112130.14381592712</v>
      </c>
      <c r="L204" s="22">
        <f>$C204*((1+'Main calculations'!$C$239/100)^(L199-2016))</f>
        <v>117344.19550336772</v>
      </c>
      <c r="M204" s="22">
        <f>$C204*((1+'Main calculations'!$C$239/100)^(M199-2016))</f>
        <v>122800.70059427433</v>
      </c>
      <c r="N204" s="22">
        <f>$C204*((1+'Main calculations'!$C$239/100)^(N199-2016))</f>
        <v>128510.93317190809</v>
      </c>
      <c r="O204" s="22">
        <f>$C204*((1+'Main calculations'!$C$239/100)^(O199-2016))</f>
        <v>134486.69156440179</v>
      </c>
      <c r="P204" s="22">
        <f>$C204*((1+'Main calculations'!$C$239/100)^(P199-2016))</f>
        <v>140740.32272214649</v>
      </c>
      <c r="Q204" s="22">
        <f>$C204*((1+'Main calculations'!$C$239/100)^(Q199-2016))</f>
        <v>147284.7477287263</v>
      </c>
      <c r="R204" s="22">
        <f>$C204*((1+'Main calculations'!$C$239/100)^(R199-2016))</f>
        <v>154133.48849811207</v>
      </c>
      <c r="S204" s="22">
        <f>$C204*((1+'Main calculations'!$C$239/100)^(S199-2016))</f>
        <v>161300.6957132743</v>
      </c>
      <c r="T204" s="22">
        <f>$C204*((1+'Main calculations'!$C$239/100)^(T199-2016))</f>
        <v>168801.17806394157</v>
      </c>
      <c r="U204" s="22">
        <f>$C204*((1+'Main calculations'!$C$239/100)^(U199-2016))</f>
        <v>176650.43284391484</v>
      </c>
      <c r="V204" s="22">
        <f>$C204*((1+'Main calculations'!$C$239/100)^(V199-2016))</f>
        <v>184864.67797115687</v>
      </c>
      <c r="W204" s="22">
        <f>$C204*((1+'Main calculations'!$C$239/100)^(W199-2016))</f>
        <v>193460.88549681564</v>
      </c>
      <c r="X204" s="22">
        <f>$C204*((1+'Main calculations'!$C$239/100)^(X199-2016))</f>
        <v>202456.81667241757</v>
      </c>
      <c r="Y204" s="22">
        <f>$C204*((1+'Main calculations'!$C$239/100)^(Y199-2016))</f>
        <v>211871.05864768501</v>
      </c>
      <c r="Z204" s="22">
        <f>$C204*((1+'Main calculations'!$C$239/100)^(Z199-2016))</f>
        <v>221723.06287480233</v>
      </c>
      <c r="AA204" s="22">
        <f>$C204*((1+'Main calculations'!$C$239/100)^(AA199-2016))</f>
        <v>232033.18529848068</v>
      </c>
      <c r="AB204" s="225"/>
      <c r="AC204"/>
      <c r="AD204"/>
      <c r="AE204"/>
      <c r="AF204"/>
    </row>
    <row r="205" spans="1:32" s="27" customFormat="1">
      <c r="A205" s="70"/>
      <c r="C205" s="53"/>
      <c r="D205" s="53"/>
      <c r="AC205"/>
      <c r="AD205"/>
      <c r="AE205"/>
      <c r="AF205"/>
    </row>
    <row r="206" spans="1:32" s="27" customFormat="1">
      <c r="A206" s="30"/>
      <c r="C206" s="53"/>
      <c r="AC206"/>
      <c r="AD206"/>
      <c r="AE206"/>
      <c r="AF206"/>
    </row>
    <row r="207" spans="1:32">
      <c r="AC207"/>
      <c r="AD207"/>
      <c r="AE207"/>
      <c r="AF207"/>
    </row>
    <row r="208" spans="1:32">
      <c r="AC208"/>
      <c r="AD208"/>
      <c r="AE208"/>
      <c r="AF208"/>
    </row>
    <row r="209" spans="29:32">
      <c r="AC209"/>
      <c r="AD209"/>
      <c r="AE209"/>
      <c r="AF209"/>
    </row>
    <row r="252" s="27" customFormat="1" ht="11.6"/>
    <row r="285" spans="2:2" s="27" customFormat="1" ht="11.6">
      <c r="B285" s="366"/>
    </row>
    <row r="286" spans="2:2" s="27" customFormat="1" ht="11.6">
      <c r="B286" s="366"/>
    </row>
    <row r="287" spans="2:2" s="27" customFormat="1" ht="11.6">
      <c r="B287" s="366"/>
    </row>
    <row r="288" spans="2:2" s="27" customFormat="1" ht="11.6"/>
    <row r="289" s="27" customFormat="1" ht="11.6"/>
    <row r="290" s="27" customFormat="1" ht="11.6"/>
    <row r="291" s="27" customFormat="1" ht="11.6"/>
    <row r="292" s="27" customFormat="1" ht="11.6"/>
    <row r="293" s="27" customFormat="1" ht="11.6"/>
    <row r="294" s="27" customFormat="1" ht="11.6"/>
    <row r="295" s="27" customFormat="1" ht="11.6"/>
    <row r="296" s="27" customFormat="1" ht="11.6"/>
    <row r="297" s="27" customFormat="1" ht="11.6"/>
    <row r="298" s="27" customFormat="1" ht="11.6"/>
    <row r="299" s="27" customFormat="1" ht="11.6"/>
    <row r="300" s="27" customFormat="1" ht="11.6"/>
    <row r="301" s="27" customFormat="1" ht="11.6"/>
  </sheetData>
  <hyperlinks>
    <hyperlink ref="C2" location="'Sensitivity calculations'!B68" display="4 (welfare)"/>
    <hyperlink ref="D2" location="'Sensitivity calculations'!B110" display="5 (time)"/>
    <hyperlink ref="E2" location="'Sensitivity calculations'!B122" display="6 (workforce)"/>
    <hyperlink ref="F2" location="'Sensitivity calculations'!B149" display="7&amp;8 (recurrent)"/>
    <hyperlink ref="G2" location="'Sensitivity calculations'!B174" display="9 (capital)"/>
    <hyperlink ref="L2" location="'Sensitivity calculations'!B197" display="10 (low value)"/>
    <hyperlink ref="B2" location="'Sensitivity calculations'!B57" display="3 (health)"/>
    <hyperlink ref="A3" location="Contents!A1" display="(return to contents)"/>
    <hyperlink ref="AC60" location="'Background to calculations'!B2" display="Based on uptake of health pathways (see background table 1.1)"/>
  </hyperlink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L152"/>
  <sheetViews>
    <sheetView workbookViewId="0">
      <pane ySplit="3" topLeftCell="A69" activePane="bottomLeft" state="frozen"/>
      <selection pane="bottomLeft" activeCell="A3" sqref="A3"/>
    </sheetView>
  </sheetViews>
  <sheetFormatPr defaultRowHeight="14.6"/>
  <cols>
    <col min="1" max="1" width="40.3046875" customWidth="1"/>
    <col min="2" max="2" width="62.3046875" customWidth="1"/>
    <col min="3" max="3" width="22.69140625" customWidth="1"/>
    <col min="4" max="4" width="20.3046875" customWidth="1"/>
    <col min="5" max="5" width="13.69140625" bestFit="1" customWidth="1"/>
    <col min="6" max="6" width="46.3046875" bestFit="1" customWidth="1"/>
    <col min="7" max="7" width="19.69140625" customWidth="1"/>
    <col min="14" max="14" width="9.69140625" customWidth="1"/>
  </cols>
  <sheetData>
    <row r="1" spans="1:6" s="10" customFormat="1" ht="20.149999999999999">
      <c r="A1" s="74" t="s">
        <v>713</v>
      </c>
    </row>
    <row r="2" spans="1:6" s="161" customFormat="1">
      <c r="A2" s="344" t="s">
        <v>1094</v>
      </c>
      <c r="B2" s="458" t="s">
        <v>1095</v>
      </c>
      <c r="C2" s="458" t="s">
        <v>1096</v>
      </c>
      <c r="D2" s="458" t="s">
        <v>1097</v>
      </c>
      <c r="E2" s="221" t="s">
        <v>1098</v>
      </c>
      <c r="F2" s="27"/>
    </row>
    <row r="3" spans="1:6" s="161" customFormat="1">
      <c r="A3" s="9" t="s">
        <v>820</v>
      </c>
    </row>
    <row r="4" spans="1:6" s="161" customFormat="1">
      <c r="A4" s="9"/>
      <c r="B4" s="9"/>
    </row>
    <row r="5" spans="1:6" s="5" customFormat="1" ht="15" thickBot="1">
      <c r="A5" s="5" t="s">
        <v>106</v>
      </c>
      <c r="B5" s="5">
        <v>13</v>
      </c>
      <c r="C5" s="5" t="s">
        <v>890</v>
      </c>
    </row>
    <row r="6" spans="1:6" ht="35.15" thickBot="1">
      <c r="A6" s="14"/>
      <c r="B6" s="15" t="s">
        <v>42</v>
      </c>
      <c r="C6" s="15" t="s">
        <v>43</v>
      </c>
      <c r="D6" s="15" t="s">
        <v>891</v>
      </c>
    </row>
    <row r="7" spans="1:6">
      <c r="A7" s="16" t="s">
        <v>107</v>
      </c>
      <c r="B7" s="17" t="s">
        <v>95</v>
      </c>
      <c r="C7" s="17"/>
      <c r="D7" s="17">
        <v>0</v>
      </c>
    </row>
    <row r="8" spans="1:6" ht="34.75">
      <c r="A8" s="16">
        <v>2011</v>
      </c>
      <c r="B8" s="17" t="s">
        <v>96</v>
      </c>
      <c r="C8" s="17"/>
      <c r="D8" s="17" t="s">
        <v>97</v>
      </c>
    </row>
    <row r="9" spans="1:6" ht="34.75">
      <c r="A9" s="465">
        <v>2013</v>
      </c>
      <c r="B9" s="17" t="s">
        <v>98</v>
      </c>
      <c r="C9" s="464"/>
      <c r="D9" s="464" t="s">
        <v>101</v>
      </c>
    </row>
    <row r="10" spans="1:6">
      <c r="A10" s="465"/>
      <c r="B10" s="17"/>
      <c r="C10" s="464"/>
      <c r="D10" s="464"/>
    </row>
    <row r="11" spans="1:6" ht="23.15">
      <c r="A11" s="465"/>
      <c r="B11" s="17" t="s">
        <v>99</v>
      </c>
      <c r="C11" s="464"/>
      <c r="D11" s="464"/>
    </row>
    <row r="12" spans="1:6">
      <c r="A12" s="465"/>
      <c r="B12" s="17"/>
      <c r="C12" s="464"/>
      <c r="D12" s="464"/>
    </row>
    <row r="13" spans="1:6" ht="23.15">
      <c r="A13" s="465"/>
      <c r="B13" s="17" t="s">
        <v>100</v>
      </c>
      <c r="C13" s="464"/>
      <c r="D13" s="464"/>
    </row>
    <row r="14" spans="1:6">
      <c r="A14" s="465">
        <v>2017</v>
      </c>
      <c r="B14" s="17" t="s">
        <v>102</v>
      </c>
      <c r="C14" s="464" t="s">
        <v>104</v>
      </c>
      <c r="D14" s="464" t="s">
        <v>105</v>
      </c>
    </row>
    <row r="15" spans="1:6">
      <c r="A15" s="465"/>
      <c r="B15" s="17"/>
      <c r="C15" s="464"/>
      <c r="D15" s="464"/>
    </row>
    <row r="16" spans="1:6" ht="15" thickBot="1">
      <c r="A16" s="466"/>
      <c r="B16" s="23" t="s">
        <v>103</v>
      </c>
      <c r="C16" s="467"/>
      <c r="D16" s="467"/>
    </row>
    <row r="17" spans="1:4">
      <c r="A17" s="27" t="s">
        <v>108</v>
      </c>
      <c r="B17" s="9" t="s">
        <v>45</v>
      </c>
    </row>
    <row r="18" spans="1:4">
      <c r="B18" s="9" t="s">
        <v>46</v>
      </c>
    </row>
    <row r="19" spans="1:4" s="10" customFormat="1">
      <c r="B19" s="9"/>
    </row>
    <row r="20" spans="1:4" s="27" customFormat="1" ht="11.6">
      <c r="A20" s="19"/>
    </row>
    <row r="21" spans="1:4" s="19" customFormat="1" ht="11.6">
      <c r="A21" s="19" t="s">
        <v>978</v>
      </c>
    </row>
    <row r="22" spans="1:4" s="5" customFormat="1" ht="15" thickBot="1">
      <c r="A22" s="5" t="s">
        <v>106</v>
      </c>
      <c r="B22" s="5">
        <v>14</v>
      </c>
      <c r="C22" s="27" t="s">
        <v>757</v>
      </c>
    </row>
    <row r="23" spans="1:4" s="10" customFormat="1" ht="15" thickBot="1">
      <c r="A23" s="14"/>
      <c r="B23" s="14" t="s">
        <v>91</v>
      </c>
      <c r="C23" s="15" t="s">
        <v>41</v>
      </c>
      <c r="D23" s="15" t="s">
        <v>980</v>
      </c>
    </row>
    <row r="24" spans="1:4" s="10" customFormat="1">
      <c r="A24" s="463" t="s">
        <v>109</v>
      </c>
      <c r="B24" s="463"/>
      <c r="C24" s="463"/>
      <c r="D24" s="27"/>
    </row>
    <row r="25" spans="1:4" s="10" customFormat="1">
      <c r="A25" s="30" t="s">
        <v>118</v>
      </c>
      <c r="B25" s="197" t="s">
        <v>117</v>
      </c>
      <c r="C25" s="27">
        <v>6.3</v>
      </c>
      <c r="D25" s="27"/>
    </row>
    <row r="26" spans="1:4" s="10" customFormat="1">
      <c r="A26" s="197" t="s">
        <v>119</v>
      </c>
      <c r="B26" s="197" t="s">
        <v>117</v>
      </c>
      <c r="C26" s="33">
        <v>3.7</v>
      </c>
      <c r="D26" s="27"/>
    </row>
    <row r="27" spans="1:4" s="10" customFormat="1">
      <c r="A27" s="197" t="s">
        <v>112</v>
      </c>
      <c r="B27" s="197" t="s">
        <v>20</v>
      </c>
      <c r="C27" s="32">
        <f>100*(C26/C25-1)</f>
        <v>-41.269841269841265</v>
      </c>
      <c r="D27" s="27"/>
    </row>
    <row r="28" spans="1:4" s="10" customFormat="1" ht="15" thickBot="1">
      <c r="A28" s="199" t="s">
        <v>113</v>
      </c>
      <c r="B28" s="199"/>
      <c r="C28" s="28">
        <v>4.1000000000000002E-2</v>
      </c>
      <c r="D28" s="402" t="s">
        <v>981</v>
      </c>
    </row>
    <row r="29" spans="1:4" s="10" customFormat="1" ht="23.15">
      <c r="A29" s="27" t="s">
        <v>750</v>
      </c>
      <c r="B29" s="30" t="s">
        <v>778</v>
      </c>
      <c r="C29" s="27"/>
      <c r="D29" s="27"/>
    </row>
    <row r="30" spans="1:4" s="10" customFormat="1">
      <c r="A30" s="27"/>
      <c r="B30" s="27"/>
      <c r="C30" s="27"/>
      <c r="D30" s="27"/>
    </row>
    <row r="31" spans="1:4" s="5" customFormat="1" ht="15" thickBot="1">
      <c r="A31" s="5" t="s">
        <v>106</v>
      </c>
      <c r="B31" s="5">
        <v>15</v>
      </c>
      <c r="C31" s="27" t="s">
        <v>752</v>
      </c>
    </row>
    <row r="32" spans="1:4" s="10" customFormat="1" ht="15" thickBot="1">
      <c r="A32" s="14"/>
      <c r="B32" s="14" t="s">
        <v>91</v>
      </c>
      <c r="C32" s="15" t="s">
        <v>122</v>
      </c>
      <c r="D32" s="27"/>
    </row>
    <row r="33" spans="1:4" s="10" customFormat="1">
      <c r="A33" s="463" t="s">
        <v>109</v>
      </c>
      <c r="B33" s="463"/>
      <c r="C33" s="463"/>
      <c r="D33" s="27"/>
    </row>
    <row r="34" spans="1:4" s="10" customFormat="1" ht="17.7" customHeight="1">
      <c r="A34" s="276" t="s">
        <v>121</v>
      </c>
      <c r="B34" s="264" t="s">
        <v>123</v>
      </c>
      <c r="C34" s="27">
        <v>0.19</v>
      </c>
      <c r="D34" s="27"/>
    </row>
    <row r="35" spans="1:4" s="10" customFormat="1" ht="17.7" customHeight="1">
      <c r="A35" s="264" t="s">
        <v>120</v>
      </c>
      <c r="B35" s="264" t="s">
        <v>123</v>
      </c>
      <c r="C35" s="33">
        <v>0.35</v>
      </c>
      <c r="D35" s="27"/>
    </row>
    <row r="36" spans="1:4" s="10" customFormat="1">
      <c r="A36" s="462" t="s">
        <v>111</v>
      </c>
      <c r="B36" s="462"/>
      <c r="C36" s="462"/>
      <c r="D36" s="27"/>
    </row>
    <row r="37" spans="1:4" s="10" customFormat="1" ht="15" thickBot="1">
      <c r="A37" s="199" t="s">
        <v>112</v>
      </c>
      <c r="B37" s="199" t="s">
        <v>20</v>
      </c>
      <c r="C37" s="29">
        <f>100*(C34/C35-1)</f>
        <v>-45.714285714285708</v>
      </c>
      <c r="D37" s="27"/>
    </row>
    <row r="38" spans="1:4" s="10" customFormat="1" ht="69.45">
      <c r="A38" s="27" t="s">
        <v>108</v>
      </c>
      <c r="B38" s="30" t="s">
        <v>779</v>
      </c>
      <c r="C38" s="27"/>
      <c r="D38" s="27"/>
    </row>
    <row r="39" spans="1:4" s="27" customFormat="1" ht="11.6"/>
    <row r="40" spans="1:4" s="5" customFormat="1" ht="15" thickBot="1">
      <c r="A40" s="5" t="s">
        <v>106</v>
      </c>
      <c r="B40" s="5">
        <v>16</v>
      </c>
      <c r="C40" s="27" t="s">
        <v>756</v>
      </c>
      <c r="D40" s="27"/>
    </row>
    <row r="41" spans="1:4" s="10" customFormat="1" ht="15" thickBot="1">
      <c r="A41" s="14"/>
      <c r="B41" s="14" t="s">
        <v>91</v>
      </c>
      <c r="C41" s="15" t="s">
        <v>41</v>
      </c>
      <c r="D41" s="15" t="s">
        <v>980</v>
      </c>
    </row>
    <row r="42" spans="1:4" s="10" customFormat="1">
      <c r="A42" s="463" t="s">
        <v>109</v>
      </c>
      <c r="B42" s="463"/>
      <c r="C42" s="463"/>
      <c r="D42" s="27"/>
    </row>
    <row r="43" spans="1:4" s="10" customFormat="1">
      <c r="A43" s="197" t="s">
        <v>892</v>
      </c>
      <c r="B43" s="197" t="s">
        <v>6</v>
      </c>
      <c r="C43" s="31">
        <v>-1</v>
      </c>
      <c r="D43" s="27"/>
    </row>
    <row r="44" spans="1:4" s="10" customFormat="1">
      <c r="A44" s="197" t="s">
        <v>893</v>
      </c>
      <c r="B44" s="197" t="s">
        <v>6</v>
      </c>
      <c r="C44" s="31">
        <v>-2</v>
      </c>
      <c r="D44" s="27"/>
    </row>
    <row r="45" spans="1:4" s="10" customFormat="1">
      <c r="A45" s="197" t="s">
        <v>110</v>
      </c>
      <c r="B45" s="197" t="s">
        <v>6</v>
      </c>
      <c r="C45" s="31">
        <f>C44-C43</f>
        <v>-1</v>
      </c>
      <c r="D45" s="27"/>
    </row>
    <row r="46" spans="1:4" s="10" customFormat="1">
      <c r="A46" s="197" t="s">
        <v>114</v>
      </c>
      <c r="B46" s="197"/>
      <c r="C46" s="27">
        <v>5.0000000000000001E-3</v>
      </c>
      <c r="D46" s="27" t="s">
        <v>981</v>
      </c>
    </row>
    <row r="47" spans="1:4" s="10" customFormat="1">
      <c r="A47" s="462" t="s">
        <v>115</v>
      </c>
      <c r="B47" s="462"/>
      <c r="C47" s="462"/>
      <c r="D47" s="27"/>
    </row>
    <row r="48" spans="1:4" s="10" customFormat="1" ht="23.15">
      <c r="A48" s="197" t="s">
        <v>898</v>
      </c>
      <c r="B48" s="197" t="s">
        <v>6</v>
      </c>
      <c r="C48" s="32">
        <f>C55</f>
        <v>5.9</v>
      </c>
      <c r="D48" s="27"/>
    </row>
    <row r="49" spans="1:4" s="10" customFormat="1" ht="15" thickBot="1">
      <c r="A49" s="199" t="s">
        <v>112</v>
      </c>
      <c r="B49" s="199" t="s">
        <v>899</v>
      </c>
      <c r="C49" s="29">
        <f>100*(C45/C48)</f>
        <v>-16.949152542372879</v>
      </c>
      <c r="D49" s="402"/>
    </row>
    <row r="50" spans="1:4" s="10" customFormat="1">
      <c r="A50" s="27" t="s">
        <v>750</v>
      </c>
      <c r="B50" s="30" t="s">
        <v>781</v>
      </c>
      <c r="C50" s="27"/>
      <c r="D50" s="27"/>
    </row>
    <row r="51" spans="1:4" s="10" customFormat="1">
      <c r="A51" s="27"/>
      <c r="B51" s="221"/>
      <c r="C51" s="27"/>
      <c r="D51" s="27"/>
    </row>
    <row r="52" spans="1:4" s="5" customFormat="1" ht="15" thickBot="1">
      <c r="A52" s="5" t="s">
        <v>106</v>
      </c>
      <c r="B52" s="5">
        <v>17</v>
      </c>
      <c r="C52" s="27" t="s">
        <v>786</v>
      </c>
      <c r="D52" s="27"/>
    </row>
    <row r="53" spans="1:4" ht="15" thickBot="1">
      <c r="A53" s="14"/>
      <c r="B53" s="14" t="s">
        <v>91</v>
      </c>
      <c r="C53" s="15" t="s">
        <v>41</v>
      </c>
      <c r="D53" s="27"/>
    </row>
    <row r="54" spans="1:4">
      <c r="A54" s="463" t="s">
        <v>784</v>
      </c>
      <c r="B54" s="463"/>
      <c r="C54" s="463"/>
      <c r="D54" s="27"/>
    </row>
    <row r="55" spans="1:4" s="10" customFormat="1">
      <c r="A55" s="10" t="s">
        <v>894</v>
      </c>
      <c r="B55" s="10" t="s">
        <v>6</v>
      </c>
      <c r="C55" s="10">
        <v>5.9</v>
      </c>
      <c r="D55" s="27"/>
    </row>
    <row r="56" spans="1:4" s="161" customFormat="1">
      <c r="A56" s="30" t="s">
        <v>895</v>
      </c>
      <c r="B56" s="197" t="s">
        <v>116</v>
      </c>
      <c r="C56" s="33">
        <v>-4.2</v>
      </c>
      <c r="D56" s="27"/>
    </row>
    <row r="57" spans="1:4">
      <c r="A57" s="197" t="s">
        <v>896</v>
      </c>
      <c r="B57" s="197" t="s">
        <v>6</v>
      </c>
      <c r="C57" s="33">
        <v>5.2</v>
      </c>
      <c r="D57" s="27"/>
    </row>
    <row r="58" spans="1:4">
      <c r="A58" s="462" t="s">
        <v>115</v>
      </c>
      <c r="B58" s="462"/>
      <c r="C58" s="462"/>
      <c r="D58" s="27"/>
    </row>
    <row r="59" spans="1:4" s="10" customFormat="1">
      <c r="A59" s="30" t="s">
        <v>897</v>
      </c>
      <c r="B59" s="30" t="s">
        <v>6</v>
      </c>
      <c r="C59" s="27">
        <f>C57-C56</f>
        <v>9.4</v>
      </c>
      <c r="D59" s="27"/>
    </row>
    <row r="60" spans="1:4" ht="15" thickBot="1">
      <c r="A60" s="199" t="s">
        <v>112</v>
      </c>
      <c r="B60" s="199" t="s">
        <v>899</v>
      </c>
      <c r="C60" s="393">
        <f>100*(C57/C59-1)</f>
        <v>-44.680851063829785</v>
      </c>
      <c r="D60" s="27"/>
    </row>
    <row r="61" spans="1:4" ht="34.75">
      <c r="A61" s="27" t="s">
        <v>108</v>
      </c>
      <c r="B61" s="30" t="s">
        <v>783</v>
      </c>
      <c r="C61" s="27"/>
      <c r="D61" s="27"/>
    </row>
    <row r="62" spans="1:4">
      <c r="A62" s="27"/>
      <c r="B62" s="27"/>
      <c r="C62" s="27"/>
      <c r="D62" s="27"/>
    </row>
    <row r="63" spans="1:4" s="5" customFormat="1" ht="15" thickBot="1">
      <c r="A63" s="5" t="s">
        <v>106</v>
      </c>
      <c r="B63" s="5">
        <v>18</v>
      </c>
      <c r="C63" s="27" t="s">
        <v>744</v>
      </c>
    </row>
    <row r="64" spans="1:4" s="161" customFormat="1" ht="15" thickBot="1">
      <c r="A64" s="14"/>
      <c r="B64" s="14" t="s">
        <v>91</v>
      </c>
      <c r="C64" s="15" t="s">
        <v>754</v>
      </c>
      <c r="D64" s="27"/>
    </row>
    <row r="65" spans="1:4" s="161" customFormat="1">
      <c r="A65" s="463" t="s">
        <v>109</v>
      </c>
      <c r="B65" s="463"/>
      <c r="C65" s="463"/>
      <c r="D65" s="27"/>
    </row>
    <row r="66" spans="1:4" s="161" customFormat="1" ht="17.7" customHeight="1">
      <c r="A66" s="276" t="s">
        <v>745</v>
      </c>
      <c r="B66" s="264" t="s">
        <v>15</v>
      </c>
      <c r="C66" s="27">
        <v>150</v>
      </c>
      <c r="D66" s="27"/>
    </row>
    <row r="67" spans="1:4" s="161" customFormat="1" ht="17.7" customHeight="1">
      <c r="A67" s="264" t="s">
        <v>746</v>
      </c>
      <c r="B67" s="264" t="s">
        <v>651</v>
      </c>
      <c r="C67" s="37">
        <v>20000</v>
      </c>
      <c r="D67" s="27"/>
    </row>
    <row r="68" spans="1:4" s="161" customFormat="1">
      <c r="A68" s="462" t="s">
        <v>111</v>
      </c>
      <c r="B68" s="462"/>
      <c r="C68" s="462"/>
      <c r="D68" s="27"/>
    </row>
    <row r="69" spans="1:4" s="161" customFormat="1">
      <c r="A69" s="264" t="s">
        <v>747</v>
      </c>
      <c r="B69" s="264" t="s">
        <v>748</v>
      </c>
      <c r="C69" s="37">
        <f>C66/4/C67*1000000</f>
        <v>1875</v>
      </c>
      <c r="D69" s="27"/>
    </row>
    <row r="70" spans="1:4" s="161" customFormat="1" ht="15" thickBot="1">
      <c r="A70" s="334" t="s">
        <v>747</v>
      </c>
      <c r="B70" s="334" t="s">
        <v>749</v>
      </c>
      <c r="C70" s="200">
        <f>C69/'ABS CPI'!B11*'ABS CPI'!I11</f>
        <v>2422.615521327014</v>
      </c>
      <c r="D70" s="27"/>
    </row>
    <row r="71" spans="1:4" s="161" customFormat="1" ht="23.15">
      <c r="A71" s="27" t="s">
        <v>750</v>
      </c>
      <c r="B71" s="30" t="s">
        <v>751</v>
      </c>
      <c r="C71" s="27"/>
      <c r="D71" s="27"/>
    </row>
    <row r="72" spans="1:4" s="27" customFormat="1" ht="11.6"/>
    <row r="73" spans="1:4" s="5" customFormat="1" ht="15" thickBot="1">
      <c r="A73" s="5" t="s">
        <v>106</v>
      </c>
      <c r="B73" s="5">
        <v>19</v>
      </c>
      <c r="C73" s="27" t="s">
        <v>768</v>
      </c>
    </row>
    <row r="74" spans="1:4" s="161" customFormat="1" ht="15" thickBot="1">
      <c r="A74" s="14"/>
      <c r="B74" s="14" t="s">
        <v>91</v>
      </c>
      <c r="C74" s="15" t="s">
        <v>754</v>
      </c>
      <c r="D74" s="27"/>
    </row>
    <row r="75" spans="1:4" s="161" customFormat="1">
      <c r="A75" s="463" t="s">
        <v>109</v>
      </c>
      <c r="B75" s="463"/>
      <c r="C75" s="463"/>
      <c r="D75" s="27"/>
    </row>
    <row r="76" spans="1:4" s="161" customFormat="1" ht="24">
      <c r="A76" s="276" t="s">
        <v>767</v>
      </c>
      <c r="B76" s="264" t="s">
        <v>15</v>
      </c>
      <c r="C76" s="27">
        <v>3.3</v>
      </c>
      <c r="D76" s="27"/>
    </row>
    <row r="77" spans="1:4" s="161" customFormat="1" ht="17.7" customHeight="1">
      <c r="A77" s="276" t="s">
        <v>769</v>
      </c>
      <c r="B77" s="264" t="s">
        <v>15</v>
      </c>
      <c r="C77" s="27">
        <v>0.48</v>
      </c>
      <c r="D77" s="27"/>
    </row>
    <row r="78" spans="1:4" s="161" customFormat="1" ht="17.7" customHeight="1">
      <c r="A78" s="276" t="s">
        <v>772</v>
      </c>
      <c r="B78" s="264" t="s">
        <v>651</v>
      </c>
      <c r="C78" s="27">
        <v>2</v>
      </c>
      <c r="D78" s="27"/>
    </row>
    <row r="79" spans="1:4" s="161" customFormat="1" ht="17.7" customHeight="1">
      <c r="A79" s="264" t="s">
        <v>766</v>
      </c>
      <c r="B79" s="264" t="s">
        <v>651</v>
      </c>
      <c r="C79" s="37">
        <f>125+177</f>
        <v>302</v>
      </c>
      <c r="D79" s="27"/>
    </row>
    <row r="80" spans="1:4" s="161" customFormat="1">
      <c r="A80" s="468" t="s">
        <v>764</v>
      </c>
      <c r="B80" s="468"/>
      <c r="C80" s="468"/>
      <c r="D80" s="27"/>
    </row>
    <row r="81" spans="1:4" s="161" customFormat="1" ht="17.7" customHeight="1">
      <c r="A81" s="276" t="s">
        <v>765</v>
      </c>
      <c r="B81" s="264" t="s">
        <v>2</v>
      </c>
      <c r="C81" s="37">
        <v>120000</v>
      </c>
      <c r="D81" s="27"/>
    </row>
    <row r="82" spans="1:4" s="161" customFormat="1" ht="17.7" customHeight="1">
      <c r="A82" s="276" t="s">
        <v>901</v>
      </c>
      <c r="B82" s="264" t="s">
        <v>900</v>
      </c>
      <c r="C82" s="37">
        <v>6</v>
      </c>
      <c r="D82" s="27"/>
    </row>
    <row r="83" spans="1:4" s="161" customFormat="1">
      <c r="A83" s="462" t="s">
        <v>111</v>
      </c>
      <c r="B83" s="462"/>
      <c r="C83" s="462"/>
      <c r="D83" s="27"/>
    </row>
    <row r="84" spans="1:4" s="161" customFormat="1">
      <c r="A84" s="264" t="s">
        <v>775</v>
      </c>
      <c r="B84" s="264" t="s">
        <v>774</v>
      </c>
      <c r="C84" s="339">
        <f>C77+C76/4</f>
        <v>1.3049999999999999</v>
      </c>
      <c r="D84" s="27"/>
    </row>
    <row r="85" spans="1:4" s="161" customFormat="1">
      <c r="A85" s="264" t="s">
        <v>770</v>
      </c>
      <c r="B85" s="264" t="s">
        <v>773</v>
      </c>
      <c r="C85" s="37">
        <f>C84/C82*1000000</f>
        <v>217500</v>
      </c>
      <c r="D85" s="27"/>
    </row>
    <row r="86" spans="1:4" s="161" customFormat="1">
      <c r="A86" s="264" t="s">
        <v>771</v>
      </c>
      <c r="B86" s="264" t="s">
        <v>773</v>
      </c>
      <c r="C86" s="37">
        <f>C81*C78</f>
        <v>240000</v>
      </c>
      <c r="D86" s="27"/>
    </row>
    <row r="87" spans="1:4" s="161" customFormat="1">
      <c r="A87" s="264" t="s">
        <v>747</v>
      </c>
      <c r="B87" s="264" t="s">
        <v>748</v>
      </c>
      <c r="C87" s="37">
        <f>SUM(C85:C86)/C79</f>
        <v>1514.9006622516556</v>
      </c>
      <c r="D87" s="27"/>
    </row>
    <row r="88" spans="1:4" s="161" customFormat="1" ht="15" thickBot="1">
      <c r="A88" s="334" t="s">
        <v>747</v>
      </c>
      <c r="B88" s="334" t="s">
        <v>749</v>
      </c>
      <c r="C88" s="200">
        <f>C87/'ABS CPI'!F11*'ABS CPI'!I11</f>
        <v>1615.6471121617901</v>
      </c>
      <c r="D88" s="27"/>
    </row>
    <row r="89" spans="1:4" s="161" customFormat="1" ht="23.15">
      <c r="A89" s="27" t="s">
        <v>750</v>
      </c>
      <c r="B89" s="30" t="s">
        <v>778</v>
      </c>
      <c r="C89" s="27"/>
      <c r="D89" s="27"/>
    </row>
    <row r="90" spans="1:4" s="161" customFormat="1">
      <c r="A90" s="27"/>
      <c r="B90" s="27"/>
      <c r="C90" s="27"/>
      <c r="D90" s="27"/>
    </row>
    <row r="91" spans="1:4" s="5" customFormat="1" ht="15" thickBot="1">
      <c r="A91" s="5" t="s">
        <v>106</v>
      </c>
      <c r="B91" s="5">
        <v>20</v>
      </c>
      <c r="C91" s="27" t="s">
        <v>753</v>
      </c>
    </row>
    <row r="92" spans="1:4" s="161" customFormat="1" ht="15" thickBot="1">
      <c r="A92" s="14"/>
      <c r="B92" s="14" t="s">
        <v>91</v>
      </c>
      <c r="C92" s="15" t="s">
        <v>754</v>
      </c>
      <c r="D92" s="27"/>
    </row>
    <row r="93" spans="1:4" s="161" customFormat="1">
      <c r="A93" s="463" t="s">
        <v>109</v>
      </c>
      <c r="B93" s="463"/>
      <c r="C93" s="463"/>
      <c r="D93" s="27"/>
    </row>
    <row r="94" spans="1:4" s="161" customFormat="1" ht="17.7" customHeight="1">
      <c r="A94" s="276" t="s">
        <v>755</v>
      </c>
      <c r="B94" s="264" t="s">
        <v>748</v>
      </c>
      <c r="C94" s="37">
        <v>7220</v>
      </c>
      <c r="D94" s="27"/>
    </row>
    <row r="95" spans="1:4" s="161" customFormat="1">
      <c r="A95" s="462" t="s">
        <v>111</v>
      </c>
      <c r="B95" s="462"/>
      <c r="C95" s="462"/>
      <c r="D95" s="27"/>
    </row>
    <row r="96" spans="1:4" s="161" customFormat="1" ht="15" thickBot="1">
      <c r="A96" s="334" t="s">
        <v>755</v>
      </c>
      <c r="B96" s="334" t="s">
        <v>749</v>
      </c>
      <c r="C96" s="200">
        <f>C94/'ABS CPI'!D11*'ABS CPI'!I11</f>
        <v>8432.0321285140562</v>
      </c>
      <c r="D96" s="27"/>
    </row>
    <row r="97" spans="1:4" s="161" customFormat="1">
      <c r="A97" s="27" t="s">
        <v>108</v>
      </c>
      <c r="B97" s="30" t="s">
        <v>788</v>
      </c>
      <c r="C97" s="27"/>
      <c r="D97" s="27"/>
    </row>
    <row r="98" spans="1:4" s="27" customFormat="1" ht="11.6"/>
    <row r="99" spans="1:4" s="5" customFormat="1" ht="15" thickBot="1">
      <c r="A99" s="5" t="s">
        <v>106</v>
      </c>
      <c r="B99" s="343">
        <v>21</v>
      </c>
      <c r="C99" s="27" t="s">
        <v>758</v>
      </c>
    </row>
    <row r="100" spans="1:4" s="161" customFormat="1" ht="15" thickBot="1">
      <c r="A100" s="14"/>
      <c r="B100" s="14" t="s">
        <v>91</v>
      </c>
      <c r="C100" s="15" t="s">
        <v>754</v>
      </c>
      <c r="D100" s="27"/>
    </row>
    <row r="101" spans="1:4" s="161" customFormat="1">
      <c r="A101" s="463" t="s">
        <v>109</v>
      </c>
      <c r="B101" s="463"/>
      <c r="C101" s="463"/>
      <c r="D101" s="27"/>
    </row>
    <row r="102" spans="1:4" s="161" customFormat="1" ht="17.7" customHeight="1">
      <c r="A102" s="276" t="s">
        <v>747</v>
      </c>
      <c r="B102" s="264" t="s">
        <v>748</v>
      </c>
      <c r="C102" s="37">
        <v>817</v>
      </c>
      <c r="D102" s="27"/>
    </row>
    <row r="103" spans="1:4" s="161" customFormat="1" ht="17.7" customHeight="1">
      <c r="A103" s="276" t="s">
        <v>759</v>
      </c>
      <c r="B103" s="264" t="s">
        <v>651</v>
      </c>
      <c r="C103" s="37">
        <v>6853</v>
      </c>
      <c r="D103" s="27"/>
    </row>
    <row r="104" spans="1:4" s="161" customFormat="1" ht="24">
      <c r="A104" s="276" t="s">
        <v>760</v>
      </c>
      <c r="B104" s="264" t="s">
        <v>748</v>
      </c>
      <c r="C104" s="37">
        <v>311</v>
      </c>
      <c r="D104" s="27"/>
    </row>
    <row r="105" spans="1:4" s="161" customFormat="1" ht="24">
      <c r="A105" s="276" t="s">
        <v>761</v>
      </c>
      <c r="B105" s="264" t="s">
        <v>20</v>
      </c>
      <c r="C105" s="37">
        <v>62</v>
      </c>
      <c r="D105" s="27"/>
    </row>
    <row r="106" spans="1:4" s="161" customFormat="1">
      <c r="A106" s="462" t="s">
        <v>115</v>
      </c>
      <c r="B106" s="462"/>
      <c r="C106" s="462"/>
      <c r="D106" s="27"/>
    </row>
    <row r="107" spans="1:4" s="161" customFormat="1">
      <c r="A107" s="241" t="s">
        <v>747</v>
      </c>
      <c r="B107" s="241" t="s">
        <v>749</v>
      </c>
      <c r="C107" s="335">
        <f>C102/'ABS CPI'!H11*'ABS CPI'!I11</f>
        <v>845.29269449715378</v>
      </c>
      <c r="D107" s="27"/>
    </row>
    <row r="108" spans="1:4" s="161" customFormat="1">
      <c r="A108" s="241" t="s">
        <v>762</v>
      </c>
      <c r="B108" s="241" t="s">
        <v>2</v>
      </c>
      <c r="C108" s="338">
        <f>C104*C103</f>
        <v>2131283</v>
      </c>
      <c r="D108" s="27"/>
    </row>
    <row r="109" spans="1:4" s="161" customFormat="1" ht="23.15">
      <c r="A109" s="241" t="s">
        <v>902</v>
      </c>
      <c r="B109" s="241" t="s">
        <v>2</v>
      </c>
      <c r="C109" s="338">
        <f>C108*C105/100</f>
        <v>1321395.46</v>
      </c>
      <c r="D109" s="27"/>
    </row>
    <row r="110" spans="1:4" s="161" customFormat="1" ht="23.15">
      <c r="A110" s="241" t="s">
        <v>903</v>
      </c>
      <c r="B110" s="241" t="s">
        <v>748</v>
      </c>
      <c r="C110" s="335">
        <f>C109/(5/100*C103)</f>
        <v>3856.3999999999996</v>
      </c>
      <c r="D110" s="27"/>
    </row>
    <row r="111" spans="1:4" s="161" customFormat="1" ht="15" thickBot="1">
      <c r="A111" s="334" t="s">
        <v>763</v>
      </c>
      <c r="B111" s="334" t="s">
        <v>749</v>
      </c>
      <c r="C111" s="200">
        <f>C110/'ABS CPI'!E11*'ABS CPI'!I11</f>
        <v>4303.3043745203377</v>
      </c>
      <c r="D111" s="27"/>
    </row>
    <row r="112" spans="1:4" s="161" customFormat="1">
      <c r="A112" s="27" t="s">
        <v>750</v>
      </c>
      <c r="B112" s="30" t="s">
        <v>937</v>
      </c>
      <c r="C112" s="27"/>
      <c r="D112" s="27"/>
    </row>
    <row r="113" spans="1:12">
      <c r="B113" s="161"/>
    </row>
    <row r="114" spans="1:12" s="5" customFormat="1" ht="15" thickBot="1">
      <c r="A114" s="5" t="s">
        <v>106</v>
      </c>
      <c r="B114" s="5">
        <v>22</v>
      </c>
      <c r="C114" s="27" t="s">
        <v>787</v>
      </c>
      <c r="D114" s="27"/>
    </row>
    <row r="115" spans="1:12" s="161" customFormat="1" ht="15" thickBot="1">
      <c r="A115" s="14"/>
      <c r="B115" s="14" t="s">
        <v>91</v>
      </c>
      <c r="C115" s="15" t="s">
        <v>754</v>
      </c>
      <c r="D115" s="27"/>
    </row>
    <row r="116" spans="1:12" s="161" customFormat="1">
      <c r="A116" s="463" t="s">
        <v>782</v>
      </c>
      <c r="B116" s="463"/>
      <c r="C116" s="463"/>
      <c r="D116" s="27"/>
    </row>
    <row r="117" spans="1:12" s="161" customFormat="1">
      <c r="A117" s="241" t="s">
        <v>747</v>
      </c>
      <c r="B117" s="241" t="s">
        <v>749</v>
      </c>
      <c r="C117" s="335">
        <v>1100.9949535666701</v>
      </c>
      <c r="D117" s="27"/>
    </row>
    <row r="118" spans="1:12" s="161" customFormat="1" ht="24.45" thickBot="1">
      <c r="A118" s="340" t="s">
        <v>776</v>
      </c>
      <c r="B118" s="266" t="s">
        <v>777</v>
      </c>
      <c r="C118" s="200">
        <v>11432</v>
      </c>
      <c r="D118" s="27"/>
    </row>
    <row r="119" spans="1:12" s="161" customFormat="1">
      <c r="A119" s="27" t="s">
        <v>750</v>
      </c>
      <c r="B119" s="30" t="s">
        <v>785</v>
      </c>
      <c r="C119" s="27"/>
      <c r="D119" s="27"/>
    </row>
    <row r="120" spans="1:12" s="161" customFormat="1">
      <c r="A120" s="27"/>
      <c r="B120" s="27"/>
      <c r="C120" s="27"/>
      <c r="D120" s="27"/>
    </row>
    <row r="122" spans="1:12" s="5" customFormat="1" ht="15" thickBot="1">
      <c r="A122" s="5" t="s">
        <v>106</v>
      </c>
      <c r="B122" s="343">
        <v>23</v>
      </c>
      <c r="C122" s="27" t="s">
        <v>922</v>
      </c>
    </row>
    <row r="123" spans="1:12" s="161" customFormat="1" ht="15.75" customHeight="1" thickBot="1">
      <c r="A123" s="461" t="s">
        <v>923</v>
      </c>
      <c r="B123" s="461"/>
      <c r="C123" s="461"/>
      <c r="D123" s="461"/>
      <c r="E123" s="461"/>
    </row>
    <row r="124" spans="1:12" s="161" customFormat="1" ht="23.6" thickBot="1">
      <c r="A124" s="14" t="s">
        <v>924</v>
      </c>
      <c r="B124" s="15" t="s">
        <v>925</v>
      </c>
      <c r="C124" s="15" t="s">
        <v>926</v>
      </c>
      <c r="D124" s="15" t="s">
        <v>927</v>
      </c>
      <c r="E124" s="15" t="s">
        <v>918</v>
      </c>
    </row>
    <row r="125" spans="1:12">
      <c r="A125" s="371"/>
      <c r="B125" s="372" t="s">
        <v>7</v>
      </c>
      <c r="C125" s="372" t="s">
        <v>7</v>
      </c>
      <c r="D125" s="372" t="s">
        <v>928</v>
      </c>
      <c r="E125" s="372" t="s">
        <v>651</v>
      </c>
      <c r="F125" s="161"/>
      <c r="L125" s="161"/>
    </row>
    <row r="126" spans="1:12">
      <c r="A126" s="359" t="s">
        <v>912</v>
      </c>
      <c r="B126" s="359">
        <v>62</v>
      </c>
      <c r="C126" s="359">
        <v>29</v>
      </c>
      <c r="D126" s="370">
        <v>311</v>
      </c>
      <c r="F126" s="370"/>
      <c r="L126" s="161"/>
    </row>
    <row r="127" spans="1:12">
      <c r="A127" s="359" t="s">
        <v>913</v>
      </c>
      <c r="B127" s="359">
        <v>47</v>
      </c>
      <c r="C127" s="359">
        <v>35</v>
      </c>
      <c r="D127" s="370">
        <v>3630</v>
      </c>
      <c r="F127" s="370"/>
      <c r="L127" s="161"/>
    </row>
    <row r="128" spans="1:12">
      <c r="A128" s="359" t="s">
        <v>909</v>
      </c>
      <c r="B128" s="359">
        <v>13</v>
      </c>
      <c r="C128" s="359">
        <v>24</v>
      </c>
      <c r="D128" s="370">
        <v>2357</v>
      </c>
      <c r="F128" s="370"/>
      <c r="L128" s="161"/>
    </row>
    <row r="129" spans="1:12">
      <c r="A129" s="359" t="s">
        <v>914</v>
      </c>
      <c r="B129" s="359">
        <v>5</v>
      </c>
      <c r="C129" s="359">
        <v>18</v>
      </c>
      <c r="D129" s="370">
        <v>224</v>
      </c>
      <c r="F129" s="370"/>
      <c r="L129" s="161"/>
    </row>
    <row r="130" spans="1:12">
      <c r="A130" s="359" t="s">
        <v>915</v>
      </c>
      <c r="B130" s="359">
        <v>9</v>
      </c>
      <c r="C130" s="359">
        <v>22</v>
      </c>
      <c r="D130" s="370">
        <v>518</v>
      </c>
      <c r="F130" s="370"/>
      <c r="L130" s="161"/>
    </row>
    <row r="131" spans="1:12">
      <c r="A131" s="359" t="s">
        <v>910</v>
      </c>
      <c r="B131" s="359">
        <v>6</v>
      </c>
      <c r="C131" s="359">
        <v>19</v>
      </c>
      <c r="D131" s="370">
        <v>104</v>
      </c>
      <c r="F131" s="370"/>
      <c r="L131" s="161"/>
    </row>
    <row r="132" spans="1:12">
      <c r="A132" s="359" t="s">
        <v>911</v>
      </c>
      <c r="B132" s="359">
        <v>10</v>
      </c>
      <c r="C132" s="359">
        <v>25</v>
      </c>
      <c r="D132" s="370">
        <v>1503</v>
      </c>
      <c r="F132" s="370"/>
      <c r="L132" s="161"/>
    </row>
    <row r="133" spans="1:12">
      <c r="A133" s="359" t="s">
        <v>917</v>
      </c>
      <c r="B133" s="359">
        <v>28</v>
      </c>
      <c r="C133" s="359">
        <v>29</v>
      </c>
      <c r="D133" s="370">
        <v>8647</v>
      </c>
      <c r="E133">
        <v>6853</v>
      </c>
      <c r="F133" s="370"/>
      <c r="L133" s="161"/>
    </row>
    <row r="134" spans="1:12">
      <c r="A134" s="382" t="s">
        <v>936</v>
      </c>
      <c r="B134" s="383" t="s">
        <v>916</v>
      </c>
      <c r="C134" s="383" t="s">
        <v>916</v>
      </c>
      <c r="D134" s="384" t="s">
        <v>919</v>
      </c>
      <c r="E134" s="372" t="s">
        <v>929</v>
      </c>
      <c r="F134" s="370"/>
      <c r="L134" s="161"/>
    </row>
    <row r="135" spans="1:12" s="161" customFormat="1" ht="15" thickBot="1">
      <c r="A135" s="359"/>
      <c r="B135" s="359"/>
      <c r="C135" s="362"/>
      <c r="D135" s="359"/>
    </row>
    <row r="136" spans="1:12" s="161" customFormat="1" ht="15.75" customHeight="1" thickBot="1">
      <c r="A136" s="461" t="s">
        <v>115</v>
      </c>
      <c r="B136" s="461"/>
      <c r="C136" s="461"/>
      <c r="D136" s="461"/>
      <c r="E136" s="461"/>
    </row>
    <row r="137" spans="1:12" s="161" customFormat="1" ht="36.9" thickBot="1">
      <c r="A137" s="14" t="s">
        <v>924</v>
      </c>
      <c r="B137" s="15" t="s">
        <v>930</v>
      </c>
      <c r="C137" s="15" t="s">
        <v>931</v>
      </c>
      <c r="D137" s="15" t="s">
        <v>982</v>
      </c>
      <c r="E137" s="15"/>
    </row>
    <row r="138" spans="1:12" s="161" customFormat="1">
      <c r="A138" s="371"/>
      <c r="B138" s="372" t="s">
        <v>2</v>
      </c>
      <c r="C138" s="372" t="s">
        <v>2</v>
      </c>
      <c r="D138" s="372" t="s">
        <v>7</v>
      </c>
    </row>
    <row r="139" spans="1:12">
      <c r="A139" s="359" t="s">
        <v>912</v>
      </c>
      <c r="B139" s="361">
        <f t="shared" ref="B139:B145" si="0">D126*$E$133</f>
        <v>2131283</v>
      </c>
      <c r="C139" s="363">
        <f t="shared" ref="C139:C146" si="1">B139*D139/100</f>
        <v>1630431.4950000001</v>
      </c>
      <c r="D139" s="359">
        <f t="shared" ref="D139:D146" si="2">B126+0.5*C126</f>
        <v>76.5</v>
      </c>
      <c r="E139" s="161"/>
      <c r="K139" s="161"/>
    </row>
    <row r="140" spans="1:12">
      <c r="A140" s="359" t="s">
        <v>913</v>
      </c>
      <c r="B140" s="361">
        <f t="shared" si="0"/>
        <v>24876390</v>
      </c>
      <c r="C140" s="363">
        <f t="shared" si="1"/>
        <v>16045271.550000001</v>
      </c>
      <c r="D140" s="359">
        <f t="shared" si="2"/>
        <v>64.5</v>
      </c>
      <c r="E140" s="161"/>
      <c r="K140" s="161"/>
    </row>
    <row r="141" spans="1:12">
      <c r="A141" s="359" t="s">
        <v>909</v>
      </c>
      <c r="B141" s="361">
        <f t="shared" si="0"/>
        <v>16152521</v>
      </c>
      <c r="C141" s="363">
        <f t="shared" si="1"/>
        <v>4038130.25</v>
      </c>
      <c r="D141" s="359">
        <f t="shared" si="2"/>
        <v>25</v>
      </c>
      <c r="E141" s="161"/>
      <c r="K141" s="161"/>
    </row>
    <row r="142" spans="1:12">
      <c r="A142" s="359" t="s">
        <v>914</v>
      </c>
      <c r="B142" s="361">
        <f t="shared" si="0"/>
        <v>1535072</v>
      </c>
      <c r="C142" s="363">
        <f t="shared" si="1"/>
        <v>214910.07999999999</v>
      </c>
      <c r="D142" s="359">
        <f t="shared" si="2"/>
        <v>14</v>
      </c>
      <c r="E142" s="161"/>
      <c r="K142" s="161"/>
    </row>
    <row r="143" spans="1:12">
      <c r="A143" s="359" t="s">
        <v>915</v>
      </c>
      <c r="B143" s="361">
        <f t="shared" si="0"/>
        <v>3549854</v>
      </c>
      <c r="C143" s="363">
        <f t="shared" si="1"/>
        <v>709970.8</v>
      </c>
      <c r="D143" s="359">
        <f t="shared" si="2"/>
        <v>20</v>
      </c>
      <c r="E143" s="161"/>
      <c r="K143" s="161"/>
    </row>
    <row r="144" spans="1:12">
      <c r="A144" s="359" t="s">
        <v>910</v>
      </c>
      <c r="B144" s="361">
        <f t="shared" si="0"/>
        <v>712712</v>
      </c>
      <c r="C144" s="363">
        <f t="shared" si="1"/>
        <v>110470.36</v>
      </c>
      <c r="D144" s="359">
        <f t="shared" si="2"/>
        <v>15.5</v>
      </c>
      <c r="E144" s="161"/>
      <c r="K144" s="161"/>
    </row>
    <row r="145" spans="1:11">
      <c r="A145" s="359" t="s">
        <v>911</v>
      </c>
      <c r="B145" s="361">
        <f t="shared" si="0"/>
        <v>10300059</v>
      </c>
      <c r="C145" s="363">
        <f t="shared" si="1"/>
        <v>2317513.2749999999</v>
      </c>
      <c r="D145" s="359">
        <f t="shared" si="2"/>
        <v>22.5</v>
      </c>
      <c r="E145" s="161"/>
      <c r="K145" s="161"/>
    </row>
    <row r="146" spans="1:11">
      <c r="A146" s="359" t="s">
        <v>917</v>
      </c>
      <c r="B146" s="360">
        <f>SUM(B139:B145)</f>
        <v>59257891</v>
      </c>
      <c r="C146" s="363">
        <f t="shared" si="1"/>
        <v>25184603.675000001</v>
      </c>
      <c r="D146" s="359">
        <f t="shared" si="2"/>
        <v>42.5</v>
      </c>
      <c r="E146" s="161"/>
      <c r="K146" s="161"/>
    </row>
    <row r="147" spans="1:11">
      <c r="A147" s="161"/>
      <c r="B147" s="359"/>
      <c r="C147" s="161"/>
      <c r="D147" s="364"/>
      <c r="E147" s="161"/>
      <c r="K147" s="161"/>
    </row>
    <row r="148" spans="1:11">
      <c r="A148" s="359" t="s">
        <v>920</v>
      </c>
      <c r="B148" s="363">
        <f>SUM(B139:B140)</f>
        <v>27007673</v>
      </c>
      <c r="C148" s="363">
        <f>SUM(C139:C140)</f>
        <v>17675703.045000002</v>
      </c>
      <c r="D148" s="365">
        <f>C148/B148*100</f>
        <v>65.446967774676494</v>
      </c>
      <c r="I148" s="161"/>
    </row>
    <row r="149" spans="1:11" ht="15" thickBot="1">
      <c r="A149" s="373" t="s">
        <v>921</v>
      </c>
      <c r="B149" s="385">
        <f>SUM(B141:B145)</f>
        <v>32250218</v>
      </c>
      <c r="C149" s="385">
        <f>SUM(C141:C145)</f>
        <v>7390994.7650000006</v>
      </c>
      <c r="D149" s="374">
        <f>100*C149/B149</f>
        <v>22.917658308542286</v>
      </c>
      <c r="E149" s="200"/>
      <c r="I149" s="161"/>
    </row>
    <row r="150" spans="1:11" s="161" customFormat="1" ht="23.15">
      <c r="A150" s="27" t="s">
        <v>750</v>
      </c>
      <c r="B150" s="30" t="s">
        <v>938</v>
      </c>
    </row>
    <row r="151" spans="1:11">
      <c r="A151" s="403" t="s">
        <v>210</v>
      </c>
    </row>
    <row r="152" spans="1:11">
      <c r="A152" s="403" t="s">
        <v>983</v>
      </c>
    </row>
  </sheetData>
  <mergeCells count="25">
    <mergeCell ref="D9:D13"/>
    <mergeCell ref="A14:A16"/>
    <mergeCell ref="C14:C16"/>
    <mergeCell ref="D14:D16"/>
    <mergeCell ref="A123:E123"/>
    <mergeCell ref="A83:C83"/>
    <mergeCell ref="A80:C80"/>
    <mergeCell ref="A116:C116"/>
    <mergeCell ref="A9:A13"/>
    <mergeCell ref="C9:C13"/>
    <mergeCell ref="A136:E136"/>
    <mergeCell ref="A58:C58"/>
    <mergeCell ref="A24:C24"/>
    <mergeCell ref="A33:C33"/>
    <mergeCell ref="A36:C36"/>
    <mergeCell ref="A42:C42"/>
    <mergeCell ref="A47:C47"/>
    <mergeCell ref="A54:C54"/>
    <mergeCell ref="A65:C65"/>
    <mergeCell ref="A68:C68"/>
    <mergeCell ref="A93:C93"/>
    <mergeCell ref="A95:C95"/>
    <mergeCell ref="A101:C101"/>
    <mergeCell ref="A106:C106"/>
    <mergeCell ref="A75:C75"/>
  </mergeCells>
  <hyperlinks>
    <hyperlink ref="B17" r:id="rId1"/>
    <hyperlink ref="B18" r:id="rId2"/>
    <hyperlink ref="D2" location="'Inputs into calculations'!B63" display="18-22 (costs)"/>
    <hyperlink ref="B2" location="'Inputs into calculations'!B5" display="13 (adoption of health pathways)"/>
    <hyperlink ref="C2" location="'Inputs into calculations'!B21" display="14-17 (estimating impacts on hospitalisation)"/>
    <hyperlink ref="A3" location="Contents!A1" display="(return to contents)"/>
    <hyperlink ref="E2" location="'Inputs into calculations'!B122" display="Table 23, share of health costs"/>
  </hyperlinks>
  <pageMargins left="0.7" right="0.7" top="0.75" bottom="0.75" header="0.3" footer="0.3"/>
  <pageSetup paperSize="9" orientation="portrait" horizontalDpi="300" verticalDpi="3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K74"/>
  <sheetViews>
    <sheetView workbookViewId="0">
      <pane ySplit="2" topLeftCell="A45" activePane="bottomLeft" state="frozen"/>
      <selection pane="bottomLeft" activeCell="A2" sqref="A2"/>
    </sheetView>
  </sheetViews>
  <sheetFormatPr defaultColWidth="9.53515625" defaultRowHeight="10.3"/>
  <cols>
    <col min="1" max="1" width="61.07421875" style="406" customWidth="1"/>
    <col min="2" max="7" width="12.07421875" style="406" bestFit="1" customWidth="1"/>
    <col min="8" max="8" width="13.3046875" style="406" bestFit="1" customWidth="1"/>
    <col min="9" max="9" width="10.53515625" style="406" bestFit="1" customWidth="1"/>
    <col min="10" max="10" width="14.84375" style="406" customWidth="1"/>
    <col min="11" max="16384" width="9.53515625" style="406"/>
  </cols>
  <sheetData>
    <row r="1" spans="1:8" ht="20.149999999999999">
      <c r="A1" s="74" t="s">
        <v>1033</v>
      </c>
    </row>
    <row r="2" spans="1:8" ht="14.6">
      <c r="A2" s="9" t="s">
        <v>820</v>
      </c>
    </row>
    <row r="3" spans="1:8" ht="14.6">
      <c r="A3" s="9"/>
    </row>
    <row r="4" spans="1:8">
      <c r="A4" s="406" t="s">
        <v>1032</v>
      </c>
    </row>
    <row r="7" spans="1:8" ht="20.6">
      <c r="B7" s="420" t="s">
        <v>1011</v>
      </c>
      <c r="C7" s="420" t="s">
        <v>1010</v>
      </c>
      <c r="D7" s="420" t="s">
        <v>1009</v>
      </c>
      <c r="E7" s="420" t="s">
        <v>1008</v>
      </c>
      <c r="F7" s="420" t="s">
        <v>1007</v>
      </c>
      <c r="G7" s="420" t="s">
        <v>1006</v>
      </c>
      <c r="H7" s="420" t="s">
        <v>11</v>
      </c>
    </row>
    <row r="8" spans="1:8">
      <c r="A8" s="406" t="s">
        <v>1031</v>
      </c>
      <c r="B8" s="418">
        <f>'ABS Hours worked by age group'!C13</f>
        <v>47808.741666666669</v>
      </c>
      <c r="C8" s="418">
        <f>'ABS Hours worked by age group'!D13</f>
        <v>95674.016666666663</v>
      </c>
      <c r="D8" s="418">
        <f>'ABS Hours worked by age group'!E13</f>
        <v>88700.791666666672</v>
      </c>
      <c r="E8" s="418">
        <f>'ABS Hours worked by age group'!F13</f>
        <v>87345.516666666663</v>
      </c>
      <c r="F8" s="418">
        <f>'ABS Hours worked by age group'!G13</f>
        <v>56723.724999999999</v>
      </c>
      <c r="G8" s="418">
        <f>'ABS Hours worked by age group'!H13</f>
        <v>11632.550000000001</v>
      </c>
      <c r="H8" s="418">
        <f>SUM(B8:G8)</f>
        <v>387885.34166666662</v>
      </c>
    </row>
    <row r="9" spans="1:8">
      <c r="A9" s="406" t="s">
        <v>1030</v>
      </c>
      <c r="B9" s="418">
        <f t="shared" ref="B9:G9" si="0">52*B8</f>
        <v>2486054.5666666669</v>
      </c>
      <c r="C9" s="418">
        <f t="shared" si="0"/>
        <v>4975048.8666666662</v>
      </c>
      <c r="D9" s="418">
        <f t="shared" si="0"/>
        <v>4612441.166666667</v>
      </c>
      <c r="E9" s="418">
        <f t="shared" si="0"/>
        <v>4541966.8666666662</v>
      </c>
      <c r="F9" s="418">
        <f t="shared" si="0"/>
        <v>2949633.6999999997</v>
      </c>
      <c r="G9" s="418">
        <f t="shared" si="0"/>
        <v>604892.60000000009</v>
      </c>
      <c r="H9" s="418">
        <f>SUM(B9:G9)</f>
        <v>20170037.766666669</v>
      </c>
    </row>
    <row r="10" spans="1:8">
      <c r="A10" s="406" t="s">
        <v>1029</v>
      </c>
      <c r="B10" s="419">
        <f>'ABS Hours worked by age group'!C10</f>
        <v>1848.925</v>
      </c>
      <c r="C10" s="419">
        <f>'ABS Hours worked by age group'!D10</f>
        <v>2769.5499999999997</v>
      </c>
      <c r="D10" s="419">
        <f>'ABS Hours worked by age group'!E10</f>
        <v>2572.4583333333335</v>
      </c>
      <c r="E10" s="419">
        <f>'ABS Hours worked by age group'!F10</f>
        <v>2500.9666666666667</v>
      </c>
      <c r="F10" s="419">
        <f>'ABS Hours worked by age group'!G10</f>
        <v>1731.675</v>
      </c>
      <c r="G10" s="419">
        <f>'ABS Hours worked by age group'!H10</f>
        <v>446.98333333333335</v>
      </c>
      <c r="H10" s="418">
        <f>SUM(B10:G10)</f>
        <v>11870.558333333332</v>
      </c>
    </row>
    <row r="11" spans="1:8">
      <c r="A11" s="406" t="s">
        <v>1028</v>
      </c>
      <c r="B11" s="419">
        <v>3141.8083333333329</v>
      </c>
      <c r="C11" s="419">
        <v>3141.8083333333329</v>
      </c>
      <c r="D11" s="419">
        <v>3141.8083333333329</v>
      </c>
      <c r="E11" s="419">
        <v>3141.8083333333329</v>
      </c>
      <c r="F11" s="419">
        <v>3141.8083333333329</v>
      </c>
      <c r="G11" s="419">
        <v>3141.8083333333329</v>
      </c>
      <c r="H11" s="418">
        <f>SUM(B11:G11)</f>
        <v>18850.849999999999</v>
      </c>
    </row>
    <row r="12" spans="1:8">
      <c r="A12" s="406" t="s">
        <v>1027</v>
      </c>
      <c r="B12" s="417">
        <f t="shared" ref="B12:H12" si="1">B11-B10</f>
        <v>1292.883333333333</v>
      </c>
      <c r="C12" s="417">
        <f t="shared" si="1"/>
        <v>372.25833333333321</v>
      </c>
      <c r="D12" s="417">
        <f t="shared" si="1"/>
        <v>569.34999999999945</v>
      </c>
      <c r="E12" s="417">
        <f t="shared" si="1"/>
        <v>640.84166666666624</v>
      </c>
      <c r="F12" s="417">
        <f t="shared" si="1"/>
        <v>1410.133333333333</v>
      </c>
      <c r="G12" s="417">
        <f t="shared" si="1"/>
        <v>2694.8249999999998</v>
      </c>
      <c r="H12" s="417">
        <f t="shared" si="1"/>
        <v>6980.2916666666661</v>
      </c>
    </row>
    <row r="15" spans="1:8">
      <c r="A15" s="406" t="s">
        <v>1026</v>
      </c>
      <c r="B15" s="411">
        <f>'ABS earnings'!D20</f>
        <v>1151.75</v>
      </c>
      <c r="C15" s="411"/>
    </row>
    <row r="16" spans="1:8">
      <c r="A16" s="406" t="s">
        <v>1025</v>
      </c>
      <c r="B16" s="406">
        <f>'ABS Average weekly hours'!B9</f>
        <v>32.9</v>
      </c>
    </row>
    <row r="17" spans="1:11">
      <c r="A17" s="445" t="s">
        <v>1024</v>
      </c>
      <c r="B17" s="446">
        <f>B15/B16</f>
        <v>35.007598784194528</v>
      </c>
      <c r="C17" s="447"/>
      <c r="D17" s="445"/>
      <c r="E17" s="445"/>
      <c r="F17" s="445"/>
      <c r="G17" s="445"/>
      <c r="H17" s="445"/>
      <c r="I17" s="445"/>
      <c r="J17" s="445"/>
      <c r="K17" s="445"/>
    </row>
    <row r="18" spans="1:11">
      <c r="A18" s="445" t="s">
        <v>1023</v>
      </c>
      <c r="B18" s="446">
        <v>10</v>
      </c>
      <c r="C18" s="445"/>
      <c r="D18" s="445"/>
      <c r="E18" s="445"/>
      <c r="F18" s="445"/>
      <c r="G18" s="445"/>
      <c r="H18" s="445"/>
      <c r="I18" s="445"/>
      <c r="J18" s="445"/>
      <c r="K18" s="445"/>
    </row>
    <row r="19" spans="1:11">
      <c r="A19" s="445" t="s">
        <v>1022</v>
      </c>
      <c r="B19" s="448">
        <f>B20/100*(100-B21)+B21</f>
        <v>49.999999999999993</v>
      </c>
      <c r="C19" s="445"/>
      <c r="D19" s="445"/>
      <c r="E19" s="445"/>
      <c r="F19" s="445"/>
      <c r="G19" s="445"/>
      <c r="H19" s="445"/>
      <c r="I19" s="445"/>
      <c r="J19" s="445"/>
      <c r="K19" s="445"/>
    </row>
    <row r="20" spans="1:11">
      <c r="A20" s="445" t="s">
        <v>1079</v>
      </c>
      <c r="B20" s="449">
        <f>1/3*100</f>
        <v>33.333333333333329</v>
      </c>
      <c r="C20" s="445"/>
      <c r="D20" s="445"/>
      <c r="E20" s="445"/>
      <c r="F20" s="445"/>
      <c r="G20" s="445"/>
      <c r="H20" s="445"/>
      <c r="I20" s="445"/>
      <c r="J20" s="445"/>
      <c r="K20" s="445"/>
    </row>
    <row r="21" spans="1:11">
      <c r="A21" s="445" t="s">
        <v>1081</v>
      </c>
      <c r="B21" s="445">
        <f>B22</f>
        <v>25</v>
      </c>
      <c r="C21" s="445"/>
      <c r="D21" s="445"/>
      <c r="E21" s="445"/>
      <c r="F21" s="445"/>
      <c r="G21" s="445"/>
      <c r="H21" s="445"/>
      <c r="I21" s="445"/>
      <c r="J21" s="445"/>
      <c r="K21" s="445"/>
    </row>
    <row r="22" spans="1:11" ht="30.9">
      <c r="A22" s="450" t="s">
        <v>1080</v>
      </c>
      <c r="B22" s="445">
        <v>25</v>
      </c>
      <c r="C22" s="451"/>
      <c r="D22" s="445"/>
      <c r="E22" s="445"/>
      <c r="F22" s="445"/>
      <c r="G22" s="445"/>
      <c r="H22" s="445"/>
      <c r="I22" s="445"/>
      <c r="J22" s="445"/>
      <c r="K22" s="445"/>
    </row>
    <row r="23" spans="1:11">
      <c r="A23" s="445"/>
      <c r="B23" s="445"/>
      <c r="C23" s="451"/>
      <c r="D23" s="445"/>
      <c r="E23" s="445"/>
      <c r="F23" s="445"/>
      <c r="G23" s="445"/>
      <c r="H23" s="445"/>
      <c r="I23" s="445"/>
      <c r="J23" s="445"/>
      <c r="K23" s="445"/>
    </row>
    <row r="24" spans="1:11">
      <c r="A24" s="445" t="s">
        <v>1021</v>
      </c>
      <c r="B24" s="448">
        <v>30</v>
      </c>
      <c r="C24" s="445"/>
      <c r="D24" s="445"/>
      <c r="E24" s="445"/>
      <c r="F24" s="445"/>
      <c r="G24" s="445"/>
      <c r="H24" s="445"/>
      <c r="I24" s="445"/>
      <c r="J24" s="445"/>
      <c r="K24" s="445"/>
    </row>
    <row r="25" spans="1:11">
      <c r="A25" s="445" t="s">
        <v>1020</v>
      </c>
      <c r="B25" s="448">
        <v>18</v>
      </c>
      <c r="C25" s="445"/>
      <c r="D25" s="445"/>
      <c r="E25" s="445"/>
      <c r="F25" s="445"/>
      <c r="G25" s="445"/>
      <c r="H25" s="445"/>
      <c r="I25" s="445"/>
      <c r="J25" s="445"/>
      <c r="K25" s="445"/>
    </row>
    <row r="26" spans="1:11">
      <c r="A26" s="445"/>
      <c r="B26" s="445"/>
      <c r="C26" s="445"/>
      <c r="D26" s="445"/>
      <c r="E26" s="445"/>
      <c r="F26" s="445"/>
      <c r="G26" s="445"/>
      <c r="H26" s="445"/>
      <c r="I26" s="445"/>
      <c r="J26" s="445"/>
      <c r="K26" s="445"/>
    </row>
    <row r="27" spans="1:11">
      <c r="A27" s="445" t="s">
        <v>1019</v>
      </c>
      <c r="B27" s="452">
        <f>'Medicare data'!B8</f>
        <v>168804608</v>
      </c>
      <c r="C27" s="445"/>
      <c r="D27" s="445"/>
      <c r="E27" s="445"/>
      <c r="F27" s="445"/>
      <c r="G27" s="445"/>
      <c r="H27" s="445"/>
      <c r="I27" s="445"/>
      <c r="J27" s="445"/>
      <c r="K27" s="445"/>
    </row>
    <row r="28" spans="1:11">
      <c r="A28" s="445"/>
      <c r="B28" s="445"/>
      <c r="C28" s="445"/>
      <c r="D28" s="445"/>
      <c r="E28" s="445"/>
      <c r="F28" s="445"/>
      <c r="G28" s="445"/>
      <c r="H28" s="445"/>
      <c r="I28" s="445"/>
      <c r="J28" s="445"/>
      <c r="K28" s="445"/>
    </row>
    <row r="29" spans="1:11">
      <c r="A29" s="445"/>
      <c r="B29" s="445"/>
      <c r="C29" s="445"/>
      <c r="D29" s="445"/>
      <c r="E29" s="445"/>
      <c r="F29" s="445"/>
      <c r="G29" s="445"/>
      <c r="H29" s="445"/>
      <c r="I29" s="445"/>
      <c r="J29" s="445"/>
      <c r="K29" s="445"/>
    </row>
    <row r="30" spans="1:11">
      <c r="A30" s="445" t="s">
        <v>1018</v>
      </c>
      <c r="B30" s="445"/>
      <c r="C30" s="445"/>
      <c r="D30" s="445"/>
      <c r="E30" s="445"/>
      <c r="F30" s="445"/>
      <c r="G30" s="445"/>
      <c r="H30" s="445"/>
      <c r="I30" s="445"/>
      <c r="J30" s="445"/>
      <c r="K30" s="445"/>
    </row>
    <row r="31" spans="1:11">
      <c r="A31" s="445"/>
      <c r="B31" s="445" t="s">
        <v>1017</v>
      </c>
      <c r="C31" s="427" t="s">
        <v>26</v>
      </c>
      <c r="D31" s="427" t="s">
        <v>27</v>
      </c>
      <c r="E31" s="427" t="s">
        <v>28</v>
      </c>
      <c r="F31" s="427" t="s">
        <v>29</v>
      </c>
      <c r="G31" s="427" t="s">
        <v>30</v>
      </c>
      <c r="H31" s="427" t="s">
        <v>31</v>
      </c>
      <c r="I31" s="427" t="s">
        <v>33</v>
      </c>
      <c r="J31" s="427" t="s">
        <v>1013</v>
      </c>
      <c r="K31" s="445"/>
    </row>
    <row r="32" spans="1:11">
      <c r="A32" s="445" t="s">
        <v>1016</v>
      </c>
      <c r="B32" s="453">
        <f>'BEACH&amp;ABS'!B47</f>
        <v>11.399999999999991</v>
      </c>
      <c r="C32" s="453">
        <f>'BEACH&amp;ABS'!C47</f>
        <v>10.786372740212666</v>
      </c>
      <c r="D32" s="453">
        <f>'BEACH&amp;ABS'!D47</f>
        <v>13.501877956942639</v>
      </c>
      <c r="E32" s="453">
        <f>'BEACH&amp;ABS'!E47</f>
        <v>12.58491181438165</v>
      </c>
      <c r="F32" s="453">
        <f>'BEACH&amp;ABS'!F47</f>
        <v>12.983668842178968</v>
      </c>
      <c r="G32" s="453">
        <f>'BEACH&amp;ABS'!G47</f>
        <v>14.154756294700526</v>
      </c>
      <c r="H32" s="453">
        <f>'BEACH&amp;ABS'!H47</f>
        <v>13.14196595050719</v>
      </c>
      <c r="I32" s="453">
        <f>'BEACH&amp;ABS'!I47</f>
        <v>8.2973743501722481</v>
      </c>
      <c r="J32" s="453">
        <f>'BEACH&amp;ABS'!J47</f>
        <v>3.149072050904135</v>
      </c>
      <c r="K32" s="453"/>
    </row>
    <row r="33" spans="1:11">
      <c r="A33" s="445" t="s">
        <v>1015</v>
      </c>
      <c r="B33" s="454">
        <f t="shared" ref="B33:J33" si="2">B32/100*$B$27</f>
        <v>19243725.311999988</v>
      </c>
      <c r="C33" s="454">
        <f t="shared" si="2"/>
        <v>18207894.221534848</v>
      </c>
      <c r="D33" s="454">
        <f t="shared" si="2"/>
        <v>22791792.157855432</v>
      </c>
      <c r="E33" s="454">
        <f t="shared" si="2"/>
        <v>21243911.055412631</v>
      </c>
      <c r="F33" s="454">
        <f t="shared" si="2"/>
        <v>21917031.293058347</v>
      </c>
      <c r="G33" s="454">
        <f t="shared" si="2"/>
        <v>23893880.876624551</v>
      </c>
      <c r="H33" s="454">
        <f t="shared" si="2"/>
        <v>22184244.106247135</v>
      </c>
      <c r="I33" s="454">
        <f t="shared" si="2"/>
        <v>14006350.246100811</v>
      </c>
      <c r="J33" s="454">
        <f t="shared" si="2"/>
        <v>5315778.7311662855</v>
      </c>
      <c r="K33" s="445"/>
    </row>
    <row r="34" spans="1:11">
      <c r="A34" s="445"/>
      <c r="B34" s="445"/>
      <c r="C34" s="445"/>
      <c r="D34" s="445"/>
      <c r="E34" s="445"/>
      <c r="F34" s="445"/>
      <c r="G34" s="445"/>
      <c r="H34" s="445"/>
      <c r="I34" s="445"/>
      <c r="J34" s="445"/>
      <c r="K34" s="445"/>
    </row>
    <row r="35" spans="1:11">
      <c r="A35" s="445" t="s">
        <v>1014</v>
      </c>
      <c r="B35" s="445"/>
      <c r="C35" s="445"/>
      <c r="D35" s="445"/>
      <c r="E35" s="445"/>
      <c r="F35" s="445"/>
      <c r="G35" s="445"/>
      <c r="H35" s="445"/>
      <c r="I35" s="445"/>
      <c r="J35" s="445"/>
      <c r="K35" s="445"/>
    </row>
    <row r="36" spans="1:11">
      <c r="A36" s="445"/>
      <c r="B36" s="445"/>
      <c r="C36" s="445"/>
      <c r="D36" s="445"/>
      <c r="E36" s="445"/>
      <c r="F36" s="445"/>
      <c r="G36" s="445"/>
      <c r="H36" s="445"/>
      <c r="I36" s="445"/>
      <c r="J36" s="445"/>
      <c r="K36" s="445"/>
    </row>
    <row r="37" spans="1:11">
      <c r="A37" s="445"/>
      <c r="B37" s="427" t="s">
        <v>26</v>
      </c>
      <c r="C37" s="427" t="s">
        <v>27</v>
      </c>
      <c r="D37" s="427" t="s">
        <v>28</v>
      </c>
      <c r="E37" s="427" t="s">
        <v>29</v>
      </c>
      <c r="F37" s="427" t="s">
        <v>30</v>
      </c>
      <c r="G37" s="427" t="s">
        <v>31</v>
      </c>
      <c r="H37" s="427" t="s">
        <v>33</v>
      </c>
      <c r="I37" s="427" t="s">
        <v>1013</v>
      </c>
      <c r="J37" s="445" t="s">
        <v>1012</v>
      </c>
      <c r="K37" s="445"/>
    </row>
    <row r="38" spans="1:11">
      <c r="A38" s="445" t="s">
        <v>1005</v>
      </c>
      <c r="B38" s="455">
        <f>C33+0.1*B33</f>
        <v>20132266.752734847</v>
      </c>
      <c r="C38" s="455">
        <f>D33+0.8*B33</f>
        <v>38186772.407455422</v>
      </c>
      <c r="D38" s="455">
        <f>E33+0.1*B33</f>
        <v>23168283.586612631</v>
      </c>
      <c r="E38" s="456">
        <f>F33</f>
        <v>21917031.293058347</v>
      </c>
      <c r="F38" s="456">
        <f>G33</f>
        <v>23893880.876624551</v>
      </c>
      <c r="G38" s="456">
        <f>H33</f>
        <v>22184244.106247135</v>
      </c>
      <c r="H38" s="456">
        <f>I33</f>
        <v>14006350.246100811</v>
      </c>
      <c r="I38" s="456">
        <f>J33</f>
        <v>5315778.7311662855</v>
      </c>
      <c r="J38" s="455">
        <f>SUM(B38:I38)</f>
        <v>168804608.00000003</v>
      </c>
      <c r="K38" s="445"/>
    </row>
    <row r="40" spans="1:11">
      <c r="B40" s="415"/>
      <c r="C40" s="415"/>
      <c r="D40" s="415"/>
      <c r="E40" s="415"/>
      <c r="F40" s="415"/>
      <c r="G40" s="415"/>
      <c r="H40" s="415"/>
      <c r="I40" s="415"/>
    </row>
    <row r="41" spans="1:11" ht="20.6">
      <c r="B41" s="414" t="s">
        <v>1011</v>
      </c>
      <c r="C41" s="414" t="s">
        <v>1010</v>
      </c>
      <c r="D41" s="414" t="s">
        <v>1009</v>
      </c>
      <c r="E41" s="414" t="s">
        <v>1008</v>
      </c>
      <c r="F41" s="414" t="s">
        <v>1007</v>
      </c>
      <c r="G41" s="414" t="s">
        <v>1006</v>
      </c>
      <c r="H41" s="414" t="s">
        <v>11</v>
      </c>
    </row>
    <row r="42" spans="1:11">
      <c r="A42" s="406" t="s">
        <v>1005</v>
      </c>
      <c r="B42" s="412">
        <f>B38</f>
        <v>20132266.752734847</v>
      </c>
      <c r="C42" s="412">
        <f>C38</f>
        <v>38186772.407455422</v>
      </c>
      <c r="D42" s="412">
        <f>D38</f>
        <v>23168283.586612631</v>
      </c>
      <c r="E42" s="412">
        <f>E38</f>
        <v>21917031.293058347</v>
      </c>
      <c r="F42" s="412">
        <f>F38</f>
        <v>23893880.876624551</v>
      </c>
      <c r="G42" s="412">
        <f>G38+H38+I38</f>
        <v>41506373.083514236</v>
      </c>
      <c r="H42" s="412">
        <f t="shared" ref="H42:H47" si="3">SUM(B42:G42)</f>
        <v>168804608.00000003</v>
      </c>
    </row>
    <row r="43" spans="1:11">
      <c r="A43" s="406" t="s">
        <v>1004</v>
      </c>
      <c r="B43" s="410">
        <f t="shared" ref="B43:G43" si="4">waste_minutes*B42/60</f>
        <v>6039680.0258204537</v>
      </c>
      <c r="C43" s="413">
        <f t="shared" si="4"/>
        <v>11456031.722236628</v>
      </c>
      <c r="D43" s="413">
        <f t="shared" si="4"/>
        <v>6950485.0759837897</v>
      </c>
      <c r="E43" s="413">
        <f t="shared" si="4"/>
        <v>6575109.3879175037</v>
      </c>
      <c r="F43" s="413">
        <f t="shared" si="4"/>
        <v>7168164.262987365</v>
      </c>
      <c r="G43" s="413">
        <f t="shared" si="4"/>
        <v>12451911.925054271</v>
      </c>
      <c r="H43" s="412">
        <f t="shared" si="3"/>
        <v>50641382.400000006</v>
      </c>
    </row>
    <row r="44" spans="1:11">
      <c r="A44" s="406" t="s">
        <v>1003</v>
      </c>
      <c r="B44" s="413">
        <f t="shared" ref="B44:G44" si="5">B10/B11*B43*From_work_share/100</f>
        <v>1777147.7771676211</v>
      </c>
      <c r="C44" s="413">
        <f t="shared" si="5"/>
        <v>5049329.7633242719</v>
      </c>
      <c r="D44" s="413">
        <f t="shared" si="5"/>
        <v>2845468.4941671281</v>
      </c>
      <c r="E44" s="413">
        <f t="shared" si="5"/>
        <v>2616984.8164197495</v>
      </c>
      <c r="F44" s="413">
        <f t="shared" si="5"/>
        <v>1975443.6829281403</v>
      </c>
      <c r="G44" s="413">
        <f t="shared" si="5"/>
        <v>885763.31019033759</v>
      </c>
      <c r="H44" s="412">
        <f t="shared" si="3"/>
        <v>15150137.844197249</v>
      </c>
    </row>
    <row r="45" spans="1:11">
      <c r="A45" s="406" t="s">
        <v>1002</v>
      </c>
      <c r="B45" s="413">
        <f t="shared" ref="B45:G45" si="6">B10/B11*B43*(100-From_work_share)/100</f>
        <v>1777147.7771676213</v>
      </c>
      <c r="C45" s="413">
        <f t="shared" si="6"/>
        <v>5049329.7633242728</v>
      </c>
      <c r="D45" s="413">
        <f t="shared" si="6"/>
        <v>2845468.4941671286</v>
      </c>
      <c r="E45" s="413">
        <f t="shared" si="6"/>
        <v>2616984.8164197505</v>
      </c>
      <c r="F45" s="413">
        <f t="shared" si="6"/>
        <v>1975443.6829281407</v>
      </c>
      <c r="G45" s="413">
        <f t="shared" si="6"/>
        <v>885763.31019033794</v>
      </c>
      <c r="H45" s="412">
        <f t="shared" si="3"/>
        <v>15150137.844197253</v>
      </c>
    </row>
    <row r="46" spans="1:11">
      <c r="A46" s="406" t="s">
        <v>1001</v>
      </c>
      <c r="B46" s="413">
        <f t="shared" ref="B46:G46" si="7">B43-B44-B45</f>
        <v>2485384.4714852115</v>
      </c>
      <c r="C46" s="413">
        <f t="shared" si="7"/>
        <v>1357372.195588083</v>
      </c>
      <c r="D46" s="413">
        <f t="shared" si="7"/>
        <v>1259548.0876495331</v>
      </c>
      <c r="E46" s="413">
        <f t="shared" si="7"/>
        <v>1341139.7550780037</v>
      </c>
      <c r="F46" s="413">
        <f t="shared" si="7"/>
        <v>3217276.897131084</v>
      </c>
      <c r="G46" s="413">
        <f t="shared" si="7"/>
        <v>10680385.304673595</v>
      </c>
      <c r="H46" s="412">
        <f t="shared" si="3"/>
        <v>20341106.711605512</v>
      </c>
    </row>
    <row r="47" spans="1:11">
      <c r="A47" s="443" t="s">
        <v>1000</v>
      </c>
      <c r="B47" s="408">
        <f t="shared" ref="B47:G47" si="8">B44*wage_rate_employed+(B46+B45)*opportunity_cost</f>
        <v>104838998.84983554</v>
      </c>
      <c r="C47" s="408">
        <f t="shared" si="8"/>
        <v>240831930.07267159</v>
      </c>
      <c r="D47" s="408">
        <f t="shared" si="8"/>
        <v>140663185.21503562</v>
      </c>
      <c r="E47" s="408">
        <f t="shared" si="8"/>
        <v>131195600.19252911</v>
      </c>
      <c r="F47" s="408">
        <f t="shared" si="8"/>
        <v>121082745.67331217</v>
      </c>
      <c r="G47" s="408">
        <f t="shared" si="8"/>
        <v>146669932.72954273</v>
      </c>
      <c r="H47" s="407">
        <f t="shared" si="3"/>
        <v>885282392.73292685</v>
      </c>
    </row>
    <row r="49" spans="1:2">
      <c r="A49" s="406" t="s">
        <v>999</v>
      </c>
      <c r="B49" s="410">
        <f>100*H44/(H9*1000)</f>
        <v>7.5112094580381067E-2</v>
      </c>
    </row>
    <row r="60" spans="1:2" ht="20.149999999999999">
      <c r="A60" s="74" t="s">
        <v>998</v>
      </c>
    </row>
    <row r="62" spans="1:2">
      <c r="A62" s="406" t="s">
        <v>997</v>
      </c>
      <c r="B62" s="406">
        <v>35</v>
      </c>
    </row>
    <row r="63" spans="1:2">
      <c r="A63" s="406" t="s">
        <v>996</v>
      </c>
      <c r="B63" s="406">
        <v>10</v>
      </c>
    </row>
    <row r="64" spans="1:2">
      <c r="A64" s="406" t="s">
        <v>995</v>
      </c>
      <c r="B64" s="411">
        <v>8</v>
      </c>
    </row>
    <row r="66" spans="1:2">
      <c r="A66" s="406" t="s">
        <v>994</v>
      </c>
      <c r="B66" s="410">
        <f>B63/100*J38</f>
        <v>16880460.800000004</v>
      </c>
    </row>
    <row r="67" spans="1:2">
      <c r="A67" s="406" t="s">
        <v>993</v>
      </c>
      <c r="B67" s="410">
        <f>H10/H11*B66*From_work_share/100</f>
        <v>5314892.8196857618</v>
      </c>
    </row>
    <row r="68" spans="1:2">
      <c r="A68" s="406" t="s">
        <v>992</v>
      </c>
      <c r="B68" s="410">
        <f>H10/H11*B66*(1-From_work_share/100)</f>
        <v>5314892.8196857627</v>
      </c>
    </row>
    <row r="69" spans="1:2">
      <c r="A69" s="406" t="s">
        <v>991</v>
      </c>
      <c r="B69" s="410">
        <f>B66-B67-B68</f>
        <v>6250675.1606284808</v>
      </c>
    </row>
    <row r="71" spans="1:2">
      <c r="A71" s="406" t="s">
        <v>990</v>
      </c>
      <c r="B71" s="408">
        <f>B67*(B62/60*wage_rate_employed+B64)</f>
        <v>151055096.54814348</v>
      </c>
    </row>
    <row r="72" spans="1:2">
      <c r="A72" s="406" t="s">
        <v>989</v>
      </c>
      <c r="B72" s="409">
        <f>B68*(B62/60*opportunity_cost+B64)</f>
        <v>73522684.005653054</v>
      </c>
    </row>
    <row r="73" spans="1:2">
      <c r="A73" s="406" t="s">
        <v>988</v>
      </c>
      <c r="B73" s="408">
        <f>B69*(B62/60*opportunity_cost+B64)</f>
        <v>86467673.05536066</v>
      </c>
    </row>
    <row r="74" spans="1:2">
      <c r="A74" s="443" t="s">
        <v>987</v>
      </c>
      <c r="B74" s="407">
        <f>B71+B73+B72</f>
        <v>311045453.6091572</v>
      </c>
    </row>
  </sheetData>
  <hyperlinks>
    <hyperlink ref="A2" location="Contents!A1" display="(return to contents)"/>
  </hyperlink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2" sqref="A2"/>
    </sheetView>
  </sheetViews>
  <sheetFormatPr defaultRowHeight="14.6"/>
  <cols>
    <col min="1" max="1" width="29.3046875" customWidth="1"/>
    <col min="2" max="2" width="10.3046875" customWidth="1"/>
    <col min="3" max="3" width="10.69140625" customWidth="1"/>
    <col min="5" max="5" width="15.69140625" customWidth="1"/>
    <col min="6" max="6" width="12.3046875" customWidth="1"/>
  </cols>
  <sheetData>
    <row r="1" spans="1:6" ht="15.45">
      <c r="A1" s="93" t="s">
        <v>979</v>
      </c>
    </row>
    <row r="2" spans="1:6" s="161" customFormat="1">
      <c r="A2" s="9" t="s">
        <v>820</v>
      </c>
    </row>
    <row r="3" spans="1:6" s="161" customFormat="1">
      <c r="A3" s="9"/>
    </row>
    <row r="4" spans="1:6">
      <c r="A4" s="27" t="s">
        <v>650</v>
      </c>
      <c r="B4" s="27">
        <f>1+'Inputs into calculations'!B114</f>
        <v>23</v>
      </c>
      <c r="C4" s="27" t="s">
        <v>1104</v>
      </c>
      <c r="D4" s="27"/>
      <c r="E4" s="27"/>
      <c r="F4" s="27"/>
    </row>
    <row r="5" spans="1:6" ht="15" thickBot="1">
      <c r="A5" s="27"/>
      <c r="B5" s="27"/>
      <c r="C5" s="27"/>
      <c r="D5" s="27"/>
      <c r="E5" s="27"/>
      <c r="F5" s="27"/>
    </row>
    <row r="6" spans="1:6" ht="27" customHeight="1" thickBot="1">
      <c r="A6" s="314"/>
      <c r="B6" s="314"/>
      <c r="C6" s="469" t="s">
        <v>726</v>
      </c>
      <c r="D6" s="469"/>
      <c r="E6" s="319" t="s">
        <v>728</v>
      </c>
      <c r="F6" s="319" t="s">
        <v>727</v>
      </c>
    </row>
    <row r="7" spans="1:6" ht="15" thickBot="1">
      <c r="A7" s="27"/>
      <c r="B7" s="315" t="s">
        <v>91</v>
      </c>
      <c r="C7" s="316" t="s">
        <v>0</v>
      </c>
      <c r="D7" s="316" t="s">
        <v>1</v>
      </c>
      <c r="E7" s="316" t="s">
        <v>904</v>
      </c>
      <c r="F7" s="316" t="s">
        <v>731</v>
      </c>
    </row>
    <row r="8" spans="1:6">
      <c r="A8" s="27" t="s">
        <v>729</v>
      </c>
      <c r="B8" s="26" t="s">
        <v>20</v>
      </c>
      <c r="C8" s="246">
        <f>-21/650*100</f>
        <v>-3.2307692307692308</v>
      </c>
      <c r="D8" s="246">
        <f>-17/1050*100</f>
        <v>-1.6190476190476188</v>
      </c>
      <c r="E8" s="246">
        <f>8/1400*100</f>
        <v>0.5714285714285714</v>
      </c>
      <c r="F8" s="246">
        <f>E8-D8</f>
        <v>2.1904761904761902</v>
      </c>
    </row>
    <row r="9" spans="1:6" ht="15" thickBot="1">
      <c r="A9" s="225" t="s">
        <v>730</v>
      </c>
      <c r="B9" s="317" t="s">
        <v>15</v>
      </c>
      <c r="C9" s="293">
        <v>-21</v>
      </c>
      <c r="D9" s="293">
        <v>-17</v>
      </c>
      <c r="E9" s="293">
        <v>8</v>
      </c>
      <c r="F9" s="293">
        <f>E9-D9</f>
        <v>25</v>
      </c>
    </row>
    <row r="10" spans="1:6">
      <c r="A10" s="39" t="s">
        <v>732</v>
      </c>
      <c r="B10" s="27"/>
      <c r="C10" s="27"/>
      <c r="D10" s="27"/>
      <c r="E10" s="27"/>
      <c r="F10" s="27"/>
    </row>
    <row r="11" spans="1:6">
      <c r="A11" s="27"/>
      <c r="B11" s="27"/>
      <c r="C11" s="27"/>
      <c r="D11" s="27"/>
      <c r="E11" s="27"/>
      <c r="F11" s="27"/>
    </row>
  </sheetData>
  <mergeCells count="1">
    <mergeCell ref="C6:D6"/>
  </mergeCells>
  <hyperlinks>
    <hyperlink ref="A2" location="Contents!A1" display="(return to contents)"/>
  </hyperlink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zoomScaleNormal="100" workbookViewId="0">
      <selection activeCell="A2" sqref="A2"/>
    </sheetView>
  </sheetViews>
  <sheetFormatPr defaultColWidth="9.3046875" defaultRowHeight="14.6"/>
  <cols>
    <col min="1" max="1" width="38.53515625" style="99" customWidth="1"/>
    <col min="2" max="6" width="9.69140625" style="99" customWidth="1"/>
    <col min="7" max="256" width="9.3046875" style="99"/>
    <col min="257" max="257" width="38.53515625" style="99" customWidth="1"/>
    <col min="258" max="262" width="9.69140625" style="99" customWidth="1"/>
    <col min="263" max="512" width="9.3046875" style="99"/>
    <col min="513" max="513" width="38.53515625" style="99" customWidth="1"/>
    <col min="514" max="518" width="9.69140625" style="99" customWidth="1"/>
    <col min="519" max="768" width="9.3046875" style="99"/>
    <col min="769" max="769" width="38.53515625" style="99" customWidth="1"/>
    <col min="770" max="774" width="9.69140625" style="99" customWidth="1"/>
    <col min="775" max="1024" width="9.3046875" style="99"/>
    <col min="1025" max="1025" width="38.53515625" style="99" customWidth="1"/>
    <col min="1026" max="1030" width="9.69140625" style="99" customWidth="1"/>
    <col min="1031" max="1280" width="9.3046875" style="99"/>
    <col min="1281" max="1281" width="38.53515625" style="99" customWidth="1"/>
    <col min="1282" max="1286" width="9.69140625" style="99" customWidth="1"/>
    <col min="1287" max="1536" width="9.3046875" style="99"/>
    <col min="1537" max="1537" width="38.53515625" style="99" customWidth="1"/>
    <col min="1538" max="1542" width="9.69140625" style="99" customWidth="1"/>
    <col min="1543" max="1792" width="9.3046875" style="99"/>
    <col min="1793" max="1793" width="38.53515625" style="99" customWidth="1"/>
    <col min="1794" max="1798" width="9.69140625" style="99" customWidth="1"/>
    <col min="1799" max="2048" width="9.3046875" style="99"/>
    <col min="2049" max="2049" width="38.53515625" style="99" customWidth="1"/>
    <col min="2050" max="2054" width="9.69140625" style="99" customWidth="1"/>
    <col min="2055" max="2304" width="9.3046875" style="99"/>
    <col min="2305" max="2305" width="38.53515625" style="99" customWidth="1"/>
    <col min="2306" max="2310" width="9.69140625" style="99" customWidth="1"/>
    <col min="2311" max="2560" width="9.3046875" style="99"/>
    <col min="2561" max="2561" width="38.53515625" style="99" customWidth="1"/>
    <col min="2562" max="2566" width="9.69140625" style="99" customWidth="1"/>
    <col min="2567" max="2816" width="9.3046875" style="99"/>
    <col min="2817" max="2817" width="38.53515625" style="99" customWidth="1"/>
    <col min="2818" max="2822" width="9.69140625" style="99" customWidth="1"/>
    <col min="2823" max="3072" width="9.3046875" style="99"/>
    <col min="3073" max="3073" width="38.53515625" style="99" customWidth="1"/>
    <col min="3074" max="3078" width="9.69140625" style="99" customWidth="1"/>
    <col min="3079" max="3328" width="9.3046875" style="99"/>
    <col min="3329" max="3329" width="38.53515625" style="99" customWidth="1"/>
    <col min="3330" max="3334" width="9.69140625" style="99" customWidth="1"/>
    <col min="3335" max="3584" width="9.3046875" style="99"/>
    <col min="3585" max="3585" width="38.53515625" style="99" customWidth="1"/>
    <col min="3586" max="3590" width="9.69140625" style="99" customWidth="1"/>
    <col min="3591" max="3840" width="9.3046875" style="99"/>
    <col min="3841" max="3841" width="38.53515625" style="99" customWidth="1"/>
    <col min="3842" max="3846" width="9.69140625" style="99" customWidth="1"/>
    <col min="3847" max="4096" width="9.3046875" style="99"/>
    <col min="4097" max="4097" width="38.53515625" style="99" customWidth="1"/>
    <col min="4098" max="4102" width="9.69140625" style="99" customWidth="1"/>
    <col min="4103" max="4352" width="9.3046875" style="99"/>
    <col min="4353" max="4353" width="38.53515625" style="99" customWidth="1"/>
    <col min="4354" max="4358" width="9.69140625" style="99" customWidth="1"/>
    <col min="4359" max="4608" width="9.3046875" style="99"/>
    <col min="4609" max="4609" width="38.53515625" style="99" customWidth="1"/>
    <col min="4610" max="4614" width="9.69140625" style="99" customWidth="1"/>
    <col min="4615" max="4864" width="9.3046875" style="99"/>
    <col min="4865" max="4865" width="38.53515625" style="99" customWidth="1"/>
    <col min="4866" max="4870" width="9.69140625" style="99" customWidth="1"/>
    <col min="4871" max="5120" width="9.3046875" style="99"/>
    <col min="5121" max="5121" width="38.53515625" style="99" customWidth="1"/>
    <col min="5122" max="5126" width="9.69140625" style="99" customWidth="1"/>
    <col min="5127" max="5376" width="9.3046875" style="99"/>
    <col min="5377" max="5377" width="38.53515625" style="99" customWidth="1"/>
    <col min="5378" max="5382" width="9.69140625" style="99" customWidth="1"/>
    <col min="5383" max="5632" width="9.3046875" style="99"/>
    <col min="5633" max="5633" width="38.53515625" style="99" customWidth="1"/>
    <col min="5634" max="5638" width="9.69140625" style="99" customWidth="1"/>
    <col min="5639" max="5888" width="9.3046875" style="99"/>
    <col min="5889" max="5889" width="38.53515625" style="99" customWidth="1"/>
    <col min="5890" max="5894" width="9.69140625" style="99" customWidth="1"/>
    <col min="5895" max="6144" width="9.3046875" style="99"/>
    <col min="6145" max="6145" width="38.53515625" style="99" customWidth="1"/>
    <col min="6146" max="6150" width="9.69140625" style="99" customWidth="1"/>
    <col min="6151" max="6400" width="9.3046875" style="99"/>
    <col min="6401" max="6401" width="38.53515625" style="99" customWidth="1"/>
    <col min="6402" max="6406" width="9.69140625" style="99" customWidth="1"/>
    <col min="6407" max="6656" width="9.3046875" style="99"/>
    <col min="6657" max="6657" width="38.53515625" style="99" customWidth="1"/>
    <col min="6658" max="6662" width="9.69140625" style="99" customWidth="1"/>
    <col min="6663" max="6912" width="9.3046875" style="99"/>
    <col min="6913" max="6913" width="38.53515625" style="99" customWidth="1"/>
    <col min="6914" max="6918" width="9.69140625" style="99" customWidth="1"/>
    <col min="6919" max="7168" width="9.3046875" style="99"/>
    <col min="7169" max="7169" width="38.53515625" style="99" customWidth="1"/>
    <col min="7170" max="7174" width="9.69140625" style="99" customWidth="1"/>
    <col min="7175" max="7424" width="9.3046875" style="99"/>
    <col min="7425" max="7425" width="38.53515625" style="99" customWidth="1"/>
    <col min="7426" max="7430" width="9.69140625" style="99" customWidth="1"/>
    <col min="7431" max="7680" width="9.3046875" style="99"/>
    <col min="7681" max="7681" width="38.53515625" style="99" customWidth="1"/>
    <col min="7682" max="7686" width="9.69140625" style="99" customWidth="1"/>
    <col min="7687" max="7936" width="9.3046875" style="99"/>
    <col min="7937" max="7937" width="38.53515625" style="99" customWidth="1"/>
    <col min="7938" max="7942" width="9.69140625" style="99" customWidth="1"/>
    <col min="7943" max="8192" width="9.3046875" style="99"/>
    <col min="8193" max="8193" width="38.53515625" style="99" customWidth="1"/>
    <col min="8194" max="8198" width="9.69140625" style="99" customWidth="1"/>
    <col min="8199" max="8448" width="9.3046875" style="99"/>
    <col min="8449" max="8449" width="38.53515625" style="99" customWidth="1"/>
    <col min="8450" max="8454" width="9.69140625" style="99" customWidth="1"/>
    <col min="8455" max="8704" width="9.3046875" style="99"/>
    <col min="8705" max="8705" width="38.53515625" style="99" customWidth="1"/>
    <col min="8706" max="8710" width="9.69140625" style="99" customWidth="1"/>
    <col min="8711" max="8960" width="9.3046875" style="99"/>
    <col min="8961" max="8961" width="38.53515625" style="99" customWidth="1"/>
    <col min="8962" max="8966" width="9.69140625" style="99" customWidth="1"/>
    <col min="8967" max="9216" width="9.3046875" style="99"/>
    <col min="9217" max="9217" width="38.53515625" style="99" customWidth="1"/>
    <col min="9218" max="9222" width="9.69140625" style="99" customWidth="1"/>
    <col min="9223" max="9472" width="9.3046875" style="99"/>
    <col min="9473" max="9473" width="38.53515625" style="99" customWidth="1"/>
    <col min="9474" max="9478" width="9.69140625" style="99" customWidth="1"/>
    <col min="9479" max="9728" width="9.3046875" style="99"/>
    <col min="9729" max="9729" width="38.53515625" style="99" customWidth="1"/>
    <col min="9730" max="9734" width="9.69140625" style="99" customWidth="1"/>
    <col min="9735" max="9984" width="9.3046875" style="99"/>
    <col min="9985" max="9985" width="38.53515625" style="99" customWidth="1"/>
    <col min="9986" max="9990" width="9.69140625" style="99" customWidth="1"/>
    <col min="9991" max="10240" width="9.3046875" style="99"/>
    <col min="10241" max="10241" width="38.53515625" style="99" customWidth="1"/>
    <col min="10242" max="10246" width="9.69140625" style="99" customWidth="1"/>
    <col min="10247" max="10496" width="9.3046875" style="99"/>
    <col min="10497" max="10497" width="38.53515625" style="99" customWidth="1"/>
    <col min="10498" max="10502" width="9.69140625" style="99" customWidth="1"/>
    <col min="10503" max="10752" width="9.3046875" style="99"/>
    <col min="10753" max="10753" width="38.53515625" style="99" customWidth="1"/>
    <col min="10754" max="10758" width="9.69140625" style="99" customWidth="1"/>
    <col min="10759" max="11008" width="9.3046875" style="99"/>
    <col min="11009" max="11009" width="38.53515625" style="99" customWidth="1"/>
    <col min="11010" max="11014" width="9.69140625" style="99" customWidth="1"/>
    <col min="11015" max="11264" width="9.3046875" style="99"/>
    <col min="11265" max="11265" width="38.53515625" style="99" customWidth="1"/>
    <col min="11266" max="11270" width="9.69140625" style="99" customWidth="1"/>
    <col min="11271" max="11520" width="9.3046875" style="99"/>
    <col min="11521" max="11521" width="38.53515625" style="99" customWidth="1"/>
    <col min="11522" max="11526" width="9.69140625" style="99" customWidth="1"/>
    <col min="11527" max="11776" width="9.3046875" style="99"/>
    <col min="11777" max="11777" width="38.53515625" style="99" customWidth="1"/>
    <col min="11778" max="11782" width="9.69140625" style="99" customWidth="1"/>
    <col min="11783" max="12032" width="9.3046875" style="99"/>
    <col min="12033" max="12033" width="38.53515625" style="99" customWidth="1"/>
    <col min="12034" max="12038" width="9.69140625" style="99" customWidth="1"/>
    <col min="12039" max="12288" width="9.3046875" style="99"/>
    <col min="12289" max="12289" width="38.53515625" style="99" customWidth="1"/>
    <col min="12290" max="12294" width="9.69140625" style="99" customWidth="1"/>
    <col min="12295" max="12544" width="9.3046875" style="99"/>
    <col min="12545" max="12545" width="38.53515625" style="99" customWidth="1"/>
    <col min="12546" max="12550" width="9.69140625" style="99" customWidth="1"/>
    <col min="12551" max="12800" width="9.3046875" style="99"/>
    <col min="12801" max="12801" width="38.53515625" style="99" customWidth="1"/>
    <col min="12802" max="12806" width="9.69140625" style="99" customWidth="1"/>
    <col min="12807" max="13056" width="9.3046875" style="99"/>
    <col min="13057" max="13057" width="38.53515625" style="99" customWidth="1"/>
    <col min="13058" max="13062" width="9.69140625" style="99" customWidth="1"/>
    <col min="13063" max="13312" width="9.3046875" style="99"/>
    <col min="13313" max="13313" width="38.53515625" style="99" customWidth="1"/>
    <col min="13314" max="13318" width="9.69140625" style="99" customWidth="1"/>
    <col min="13319" max="13568" width="9.3046875" style="99"/>
    <col min="13569" max="13569" width="38.53515625" style="99" customWidth="1"/>
    <col min="13570" max="13574" width="9.69140625" style="99" customWidth="1"/>
    <col min="13575" max="13824" width="9.3046875" style="99"/>
    <col min="13825" max="13825" width="38.53515625" style="99" customWidth="1"/>
    <col min="13826" max="13830" width="9.69140625" style="99" customWidth="1"/>
    <col min="13831" max="14080" width="9.3046875" style="99"/>
    <col min="14081" max="14081" width="38.53515625" style="99" customWidth="1"/>
    <col min="14082" max="14086" width="9.69140625" style="99" customWidth="1"/>
    <col min="14087" max="14336" width="9.3046875" style="99"/>
    <col min="14337" max="14337" width="38.53515625" style="99" customWidth="1"/>
    <col min="14338" max="14342" width="9.69140625" style="99" customWidth="1"/>
    <col min="14343" max="14592" width="9.3046875" style="99"/>
    <col min="14593" max="14593" width="38.53515625" style="99" customWidth="1"/>
    <col min="14594" max="14598" width="9.69140625" style="99" customWidth="1"/>
    <col min="14599" max="14848" width="9.3046875" style="99"/>
    <col min="14849" max="14849" width="38.53515625" style="99" customWidth="1"/>
    <col min="14850" max="14854" width="9.69140625" style="99" customWidth="1"/>
    <col min="14855" max="15104" width="9.3046875" style="99"/>
    <col min="15105" max="15105" width="38.53515625" style="99" customWidth="1"/>
    <col min="15106" max="15110" width="9.69140625" style="99" customWidth="1"/>
    <col min="15111" max="15360" width="9.3046875" style="99"/>
    <col min="15361" max="15361" width="38.53515625" style="99" customWidth="1"/>
    <col min="15362" max="15366" width="9.69140625" style="99" customWidth="1"/>
    <col min="15367" max="15616" width="9.3046875" style="99"/>
    <col min="15617" max="15617" width="38.53515625" style="99" customWidth="1"/>
    <col min="15618" max="15622" width="9.69140625" style="99" customWidth="1"/>
    <col min="15623" max="15872" width="9.3046875" style="99"/>
    <col min="15873" max="15873" width="38.53515625" style="99" customWidth="1"/>
    <col min="15874" max="15878" width="9.69140625" style="99" customWidth="1"/>
    <col min="15879" max="16128" width="9.3046875" style="99"/>
    <col min="16129" max="16129" width="38.53515625" style="99" customWidth="1"/>
    <col min="16130" max="16134" width="9.69140625" style="99" customWidth="1"/>
    <col min="16135" max="16384" width="9.3046875" style="99"/>
  </cols>
  <sheetData>
    <row r="1" spans="1:8" ht="17.600000000000001">
      <c r="A1" s="244" t="s">
        <v>664</v>
      </c>
    </row>
    <row r="2" spans="1:8" s="161" customFormat="1">
      <c r="A2" s="9" t="s">
        <v>820</v>
      </c>
    </row>
    <row r="4" spans="1:8" ht="18" customHeight="1" thickBot="1">
      <c r="A4" s="98" t="s">
        <v>213</v>
      </c>
    </row>
    <row r="5" spans="1:8" ht="18" customHeight="1" thickBot="1">
      <c r="A5" s="100"/>
      <c r="B5" s="100"/>
      <c r="C5" s="100"/>
      <c r="D5" s="100"/>
      <c r="E5" s="100"/>
      <c r="F5" s="100"/>
      <c r="G5" s="472" t="s">
        <v>214</v>
      </c>
      <c r="H5" s="473"/>
    </row>
    <row r="6" spans="1:8" ht="36" customHeight="1" thickBot="1">
      <c r="A6" s="101"/>
      <c r="B6" s="102" t="s">
        <v>215</v>
      </c>
      <c r="C6" s="102" t="s">
        <v>216</v>
      </c>
      <c r="D6" s="102" t="s">
        <v>217</v>
      </c>
      <c r="E6" s="102" t="s">
        <v>218</v>
      </c>
      <c r="F6" s="102" t="s">
        <v>219</v>
      </c>
      <c r="G6" s="102" t="s">
        <v>220</v>
      </c>
      <c r="H6" s="103" t="s">
        <v>221</v>
      </c>
    </row>
    <row r="7" spans="1:8" ht="18" customHeight="1">
      <c r="A7" s="104" t="s">
        <v>222</v>
      </c>
      <c r="B7" s="104"/>
      <c r="C7" s="104"/>
      <c r="D7" s="104"/>
      <c r="E7" s="104"/>
      <c r="F7" s="104"/>
      <c r="G7" s="104"/>
      <c r="H7" s="104"/>
    </row>
    <row r="8" spans="1:8" ht="15" customHeight="1">
      <c r="A8" s="105" t="s">
        <v>223</v>
      </c>
      <c r="B8" s="106">
        <v>55525</v>
      </c>
      <c r="C8" s="106">
        <v>56366</v>
      </c>
      <c r="D8" s="106">
        <v>56193</v>
      </c>
      <c r="E8" s="106">
        <v>56445</v>
      </c>
      <c r="F8" s="106">
        <v>58187</v>
      </c>
      <c r="G8" s="107">
        <v>1.2</v>
      </c>
      <c r="H8" s="107">
        <v>3.1</v>
      </c>
    </row>
    <row r="9" spans="1:8" ht="15" customHeight="1">
      <c r="A9" s="105" t="s">
        <v>224</v>
      </c>
      <c r="B9" s="106">
        <v>6566</v>
      </c>
      <c r="C9" s="106">
        <v>7022</v>
      </c>
      <c r="D9" s="106">
        <v>7195</v>
      </c>
      <c r="E9" s="106">
        <v>7308</v>
      </c>
      <c r="F9" s="106">
        <v>7551</v>
      </c>
      <c r="G9" s="107">
        <v>3.6</v>
      </c>
      <c r="H9" s="107">
        <v>3.3</v>
      </c>
    </row>
    <row r="10" spans="1:8" ht="15" customHeight="1">
      <c r="A10" s="105" t="s">
        <v>225</v>
      </c>
      <c r="B10" s="106">
        <v>48959</v>
      </c>
      <c r="C10" s="106">
        <v>49344</v>
      </c>
      <c r="D10" s="106">
        <v>48998</v>
      </c>
      <c r="E10" s="106">
        <v>49137</v>
      </c>
      <c r="F10" s="106">
        <v>50636</v>
      </c>
      <c r="G10" s="107">
        <v>0.8</v>
      </c>
      <c r="H10" s="107">
        <v>3.1</v>
      </c>
    </row>
    <row r="11" spans="1:8" ht="15" customHeight="1">
      <c r="A11" s="105" t="s">
        <v>226</v>
      </c>
      <c r="B11" s="106">
        <v>2313</v>
      </c>
      <c r="C11" s="106">
        <v>2179</v>
      </c>
      <c r="D11" s="106">
        <v>2118</v>
      </c>
      <c r="E11" s="106">
        <v>2123</v>
      </c>
      <c r="F11" s="106">
        <v>2153</v>
      </c>
      <c r="G11" s="107" t="s">
        <v>227</v>
      </c>
      <c r="H11" s="107">
        <v>1.4</v>
      </c>
    </row>
    <row r="12" spans="1:8" ht="15" customHeight="1">
      <c r="A12" s="108" t="s">
        <v>11</v>
      </c>
      <c r="B12" s="109">
        <v>57838</v>
      </c>
      <c r="C12" s="109">
        <v>58545</v>
      </c>
      <c r="D12" s="109">
        <v>58311</v>
      </c>
      <c r="E12" s="109">
        <v>58567</v>
      </c>
      <c r="F12" s="109">
        <v>60340</v>
      </c>
      <c r="G12" s="110">
        <v>1.1000000000000001</v>
      </c>
      <c r="H12" s="111">
        <v>3</v>
      </c>
    </row>
    <row r="13" spans="1:8" ht="15" customHeight="1">
      <c r="A13" s="105" t="s">
        <v>228</v>
      </c>
      <c r="B13" s="107">
        <v>2.6</v>
      </c>
      <c r="C13" s="107">
        <v>2.6</v>
      </c>
      <c r="D13" s="107">
        <v>2.6</v>
      </c>
      <c r="E13" s="107">
        <v>2.5</v>
      </c>
      <c r="F13" s="107">
        <v>2.6</v>
      </c>
      <c r="G13" s="107" t="s">
        <v>229</v>
      </c>
      <c r="H13" s="107">
        <v>1.4</v>
      </c>
    </row>
    <row r="14" spans="1:8" ht="18" customHeight="1">
      <c r="A14" s="112" t="s">
        <v>230</v>
      </c>
      <c r="B14" s="112"/>
      <c r="C14" s="112"/>
      <c r="D14" s="112"/>
      <c r="E14" s="112"/>
      <c r="F14" s="112"/>
      <c r="G14" s="112"/>
      <c r="H14" s="112"/>
    </row>
    <row r="15" spans="1:8" ht="15" customHeight="1">
      <c r="A15" s="105" t="s">
        <v>231</v>
      </c>
      <c r="B15" s="106">
        <v>2957</v>
      </c>
      <c r="C15" s="106">
        <v>2973</v>
      </c>
      <c r="D15" s="106">
        <v>2938</v>
      </c>
      <c r="E15" s="106">
        <v>2977</v>
      </c>
      <c r="F15" s="106">
        <v>3095</v>
      </c>
      <c r="G15" s="107">
        <v>1.1000000000000001</v>
      </c>
      <c r="H15" s="113">
        <v>4</v>
      </c>
    </row>
    <row r="16" spans="1:8" ht="15" customHeight="1">
      <c r="A16" s="105" t="s">
        <v>232</v>
      </c>
      <c r="B16" s="106">
        <v>25394</v>
      </c>
      <c r="C16" s="106">
        <v>26031</v>
      </c>
      <c r="D16" s="106">
        <v>26889</v>
      </c>
      <c r="E16" s="106">
        <v>27943</v>
      </c>
      <c r="F16" s="106">
        <v>28679</v>
      </c>
      <c r="G16" s="107">
        <v>3.1</v>
      </c>
      <c r="H16" s="107">
        <v>2.6</v>
      </c>
    </row>
    <row r="17" spans="1:8" ht="15" customHeight="1">
      <c r="A17" s="108" t="s">
        <v>11</v>
      </c>
      <c r="B17" s="109">
        <v>28351</v>
      </c>
      <c r="C17" s="109">
        <v>29004</v>
      </c>
      <c r="D17" s="109">
        <v>29827</v>
      </c>
      <c r="E17" s="109">
        <v>30920</v>
      </c>
      <c r="F17" s="109">
        <v>31774</v>
      </c>
      <c r="G17" s="110">
        <v>2.9</v>
      </c>
      <c r="H17" s="110">
        <v>2.8</v>
      </c>
    </row>
    <row r="18" spans="1:8" ht="15" customHeight="1">
      <c r="A18" s="105" t="s">
        <v>228</v>
      </c>
      <c r="B18" s="107">
        <v>1.3</v>
      </c>
      <c r="C18" s="107">
        <v>1.3</v>
      </c>
      <c r="D18" s="107">
        <v>1.3</v>
      </c>
      <c r="E18" s="107">
        <v>1.3</v>
      </c>
      <c r="F18" s="107">
        <v>1.4</v>
      </c>
      <c r="G18" s="107">
        <v>1.3</v>
      </c>
      <c r="H18" s="107">
        <v>7.7</v>
      </c>
    </row>
    <row r="19" spans="1:8" ht="18" customHeight="1">
      <c r="A19" s="112" t="s">
        <v>233</v>
      </c>
      <c r="B19" s="101"/>
      <c r="C19" s="101"/>
      <c r="D19" s="101"/>
      <c r="E19" s="101"/>
      <c r="F19" s="107"/>
      <c r="G19" s="107"/>
      <c r="H19" s="107"/>
    </row>
    <row r="20" spans="1:8" ht="15" customHeight="1">
      <c r="A20" s="112" t="s">
        <v>212</v>
      </c>
      <c r="B20" s="114">
        <v>86189</v>
      </c>
      <c r="C20" s="114">
        <v>87549</v>
      </c>
      <c r="D20" s="114">
        <v>88138</v>
      </c>
      <c r="E20" s="114">
        <v>89487</v>
      </c>
      <c r="F20" s="114">
        <v>92114</v>
      </c>
      <c r="G20" s="101">
        <v>1.7</v>
      </c>
      <c r="H20" s="101">
        <v>2.9</v>
      </c>
    </row>
    <row r="21" spans="1:8" ht="15" customHeight="1" thickBot="1">
      <c r="A21" s="115" t="s">
        <v>234</v>
      </c>
      <c r="B21" s="116">
        <v>3.9</v>
      </c>
      <c r="C21" s="116">
        <v>3.9</v>
      </c>
      <c r="D21" s="116">
        <v>3.9</v>
      </c>
      <c r="E21" s="116">
        <v>3.9</v>
      </c>
      <c r="F21" s="116">
        <v>3.9</v>
      </c>
      <c r="G21" s="117">
        <v>0</v>
      </c>
      <c r="H21" s="117">
        <v>0</v>
      </c>
    </row>
    <row r="22" spans="1:8" ht="24" customHeight="1">
      <c r="A22" s="474" t="s">
        <v>235</v>
      </c>
      <c r="B22" s="475"/>
      <c r="C22" s="475"/>
      <c r="D22" s="475"/>
      <c r="E22" s="475"/>
      <c r="F22" s="475"/>
      <c r="G22" s="475"/>
      <c r="H22" s="475"/>
    </row>
    <row r="23" spans="1:8" ht="15" customHeight="1">
      <c r="A23" s="118" t="s">
        <v>236</v>
      </c>
    </row>
    <row r="24" spans="1:8" ht="15" customHeight="1">
      <c r="A24" s="119" t="s">
        <v>237</v>
      </c>
    </row>
    <row r="25" spans="1:8" ht="15" customHeight="1">
      <c r="A25" s="119"/>
    </row>
    <row r="26" spans="1:8" ht="30" customHeight="1" thickBot="1">
      <c r="A26" s="476" t="s">
        <v>238</v>
      </c>
      <c r="B26" s="477"/>
      <c r="C26" s="477"/>
      <c r="D26" s="477"/>
      <c r="E26" s="477"/>
      <c r="F26" s="477"/>
    </row>
    <row r="27" spans="1:8" ht="18" customHeight="1" thickBot="1">
      <c r="A27" s="104"/>
      <c r="B27" s="478" t="s">
        <v>239</v>
      </c>
      <c r="C27" s="478"/>
      <c r="D27" s="120"/>
      <c r="E27" s="478" t="s">
        <v>230</v>
      </c>
      <c r="F27" s="478"/>
    </row>
    <row r="28" spans="1:8" ht="18" customHeight="1" thickBot="1">
      <c r="A28" s="121" t="s">
        <v>240</v>
      </c>
      <c r="B28" s="122" t="s">
        <v>3</v>
      </c>
      <c r="C28" s="123" t="s">
        <v>241</v>
      </c>
      <c r="D28" s="122"/>
      <c r="E28" s="122" t="s">
        <v>3</v>
      </c>
      <c r="F28" s="122" t="s">
        <v>241</v>
      </c>
    </row>
    <row r="29" spans="1:8" ht="15" customHeight="1">
      <c r="A29" s="105" t="s">
        <v>242</v>
      </c>
      <c r="B29" s="106">
        <v>325302</v>
      </c>
      <c r="C29" s="106">
        <v>812147</v>
      </c>
      <c r="D29" s="106"/>
      <c r="E29" s="106">
        <v>59698</v>
      </c>
      <c r="F29" s="106">
        <v>232995</v>
      </c>
    </row>
    <row r="30" spans="1:8" ht="15" customHeight="1">
      <c r="A30" s="105" t="s">
        <v>243</v>
      </c>
      <c r="B30" s="106">
        <v>75177</v>
      </c>
      <c r="C30" s="106">
        <v>243300</v>
      </c>
      <c r="D30" s="106"/>
      <c r="E30" s="106">
        <v>82455</v>
      </c>
      <c r="F30" s="106">
        <v>183461</v>
      </c>
    </row>
    <row r="31" spans="1:8" ht="15" customHeight="1">
      <c r="A31" s="105" t="s">
        <v>244</v>
      </c>
      <c r="B31" s="106">
        <v>24124</v>
      </c>
      <c r="C31" s="106">
        <v>57089</v>
      </c>
      <c r="D31" s="106"/>
      <c r="E31" s="106">
        <v>4436</v>
      </c>
      <c r="F31" s="106">
        <v>14085</v>
      </c>
    </row>
    <row r="32" spans="1:8" ht="15" customHeight="1">
      <c r="A32" s="105" t="s">
        <v>245</v>
      </c>
      <c r="B32" s="106">
        <v>33565</v>
      </c>
      <c r="C32" s="106">
        <v>116430</v>
      </c>
      <c r="D32" s="106"/>
      <c r="E32" s="106">
        <v>4372</v>
      </c>
      <c r="F32" s="106">
        <v>18636</v>
      </c>
    </row>
    <row r="33" spans="1:6" ht="15" customHeight="1">
      <c r="A33" s="105" t="s">
        <v>246</v>
      </c>
      <c r="B33" s="106">
        <v>302055</v>
      </c>
      <c r="C33" s="106">
        <v>758982</v>
      </c>
      <c r="D33" s="106"/>
      <c r="E33" s="106">
        <v>221601</v>
      </c>
      <c r="F33" s="106">
        <v>364338</v>
      </c>
    </row>
    <row r="34" spans="1:6" ht="15" customHeight="1">
      <c r="A34" s="105" t="s">
        <v>247</v>
      </c>
      <c r="B34" s="106">
        <v>172756</v>
      </c>
      <c r="C34" s="106">
        <v>259177</v>
      </c>
      <c r="D34" s="106"/>
      <c r="E34" s="106">
        <v>456656</v>
      </c>
      <c r="F34" s="106">
        <v>489196</v>
      </c>
    </row>
    <row r="35" spans="1:6" ht="15" customHeight="1">
      <c r="A35" s="105" t="s">
        <v>248</v>
      </c>
      <c r="B35" s="106">
        <v>144740</v>
      </c>
      <c r="C35" s="106">
        <v>420281</v>
      </c>
      <c r="D35" s="106"/>
      <c r="E35" s="106">
        <v>77057</v>
      </c>
      <c r="F35" s="106">
        <v>161589</v>
      </c>
    </row>
    <row r="36" spans="1:6" ht="15" customHeight="1">
      <c r="A36" s="105" t="s">
        <v>249</v>
      </c>
      <c r="B36" s="106">
        <v>37325</v>
      </c>
      <c r="C36" s="106">
        <v>82560</v>
      </c>
      <c r="D36" s="106"/>
      <c r="E36" s="106">
        <v>17485</v>
      </c>
      <c r="F36" s="106">
        <v>21650</v>
      </c>
    </row>
    <row r="37" spans="1:6" ht="15" customHeight="1">
      <c r="A37" s="105" t="s">
        <v>250</v>
      </c>
      <c r="B37" s="106">
        <v>174032</v>
      </c>
      <c r="C37" s="106">
        <v>174045</v>
      </c>
      <c r="D37" s="106"/>
      <c r="E37" s="106">
        <v>266261</v>
      </c>
      <c r="F37" s="106">
        <v>266275</v>
      </c>
    </row>
    <row r="38" spans="1:6" ht="15" customHeight="1">
      <c r="A38" s="105" t="s">
        <v>251</v>
      </c>
      <c r="B38" s="106">
        <v>232755</v>
      </c>
      <c r="C38" s="106">
        <v>707540</v>
      </c>
      <c r="D38" s="106"/>
      <c r="E38" s="106">
        <v>43949</v>
      </c>
      <c r="F38" s="106">
        <v>157382</v>
      </c>
    </row>
    <row r="39" spans="1:6" ht="15" customHeight="1">
      <c r="A39" s="105" t="s">
        <v>252</v>
      </c>
      <c r="B39" s="106">
        <v>35674</v>
      </c>
      <c r="C39" s="106">
        <v>131400</v>
      </c>
      <c r="D39" s="106"/>
      <c r="E39" s="106">
        <v>30417</v>
      </c>
      <c r="F39" s="106">
        <v>59476</v>
      </c>
    </row>
    <row r="40" spans="1:6" ht="15" customHeight="1">
      <c r="A40" s="105" t="s">
        <v>253</v>
      </c>
      <c r="B40" s="106">
        <v>1108541</v>
      </c>
      <c r="C40" s="106">
        <v>1108744</v>
      </c>
      <c r="D40" s="106"/>
      <c r="E40" s="106">
        <v>244121</v>
      </c>
      <c r="F40" s="106">
        <v>244121</v>
      </c>
    </row>
    <row r="41" spans="1:6" ht="15" customHeight="1">
      <c r="A41" s="105" t="s">
        <v>254</v>
      </c>
      <c r="B41" s="106">
        <v>321794</v>
      </c>
      <c r="C41" s="106">
        <v>1245330</v>
      </c>
      <c r="D41" s="106"/>
      <c r="E41" s="106">
        <v>104029</v>
      </c>
      <c r="F41" s="106">
        <v>359920</v>
      </c>
    </row>
    <row r="42" spans="1:6" ht="15" customHeight="1">
      <c r="A42" s="105" t="s">
        <v>255</v>
      </c>
      <c r="B42" s="106">
        <v>32049</v>
      </c>
      <c r="C42" s="106">
        <v>83741</v>
      </c>
      <c r="D42" s="106"/>
      <c r="E42" s="106">
        <v>32862</v>
      </c>
      <c r="F42" s="106">
        <v>50017</v>
      </c>
    </row>
    <row r="43" spans="1:6" ht="15" customHeight="1">
      <c r="A43" s="105" t="s">
        <v>256</v>
      </c>
      <c r="B43" s="106">
        <v>8330</v>
      </c>
      <c r="C43" s="106">
        <v>27055</v>
      </c>
      <c r="D43" s="106"/>
      <c r="E43" s="106">
        <v>5808</v>
      </c>
      <c r="F43" s="106">
        <v>21879</v>
      </c>
    </row>
    <row r="44" spans="1:6" ht="15" customHeight="1">
      <c r="A44" s="105" t="s">
        <v>257</v>
      </c>
      <c r="B44" s="106">
        <v>451961</v>
      </c>
      <c r="C44" s="106">
        <v>1524600</v>
      </c>
      <c r="D44" s="106"/>
      <c r="E44" s="106">
        <v>102581</v>
      </c>
      <c r="F44" s="106">
        <v>379351</v>
      </c>
    </row>
    <row r="45" spans="1:6" ht="15" customHeight="1">
      <c r="A45" s="105" t="s">
        <v>258</v>
      </c>
      <c r="B45" s="106">
        <v>21432</v>
      </c>
      <c r="C45" s="106">
        <v>51852</v>
      </c>
      <c r="D45" s="106"/>
      <c r="E45" s="106">
        <v>40280</v>
      </c>
      <c r="F45" s="106">
        <v>70773</v>
      </c>
    </row>
    <row r="46" spans="1:6" ht="15" customHeight="1">
      <c r="A46" s="105" t="s">
        <v>259</v>
      </c>
      <c r="B46" s="106">
        <v>16401</v>
      </c>
      <c r="C46" s="106">
        <v>170240</v>
      </c>
      <c r="D46" s="106"/>
      <c r="E46" s="106">
        <v>11880</v>
      </c>
      <c r="F46" s="106">
        <v>124708</v>
      </c>
    </row>
    <row r="47" spans="1:6" ht="15" customHeight="1">
      <c r="A47" s="105" t="s">
        <v>260</v>
      </c>
      <c r="B47" s="106">
        <v>38521</v>
      </c>
      <c r="C47" s="106">
        <v>249301</v>
      </c>
      <c r="D47" s="106"/>
      <c r="E47" s="106">
        <v>31988</v>
      </c>
      <c r="F47" s="106">
        <v>146914</v>
      </c>
    </row>
    <row r="48" spans="1:6" ht="15" customHeight="1">
      <c r="A48" s="105" t="s">
        <v>261</v>
      </c>
      <c r="B48" s="106">
        <v>83366</v>
      </c>
      <c r="C48" s="106">
        <v>316304</v>
      </c>
      <c r="D48" s="106"/>
      <c r="E48" s="106">
        <v>49523</v>
      </c>
      <c r="F48" s="106">
        <v>144643</v>
      </c>
    </row>
    <row r="49" spans="1:6" ht="15" customHeight="1">
      <c r="A49" s="105" t="s">
        <v>262</v>
      </c>
      <c r="B49" s="106">
        <v>63672</v>
      </c>
      <c r="C49" s="106">
        <v>347261</v>
      </c>
      <c r="D49" s="106"/>
      <c r="E49" s="106">
        <v>48915</v>
      </c>
      <c r="F49" s="106">
        <v>269368</v>
      </c>
    </row>
    <row r="50" spans="1:6" ht="15" customHeight="1">
      <c r="A50" s="105" t="s">
        <v>263</v>
      </c>
      <c r="B50" s="106">
        <v>23027</v>
      </c>
      <c r="C50" s="106">
        <v>25024</v>
      </c>
      <c r="D50" s="106"/>
      <c r="E50" s="106">
        <v>100997</v>
      </c>
      <c r="F50" s="106">
        <v>101232</v>
      </c>
    </row>
    <row r="51" spans="1:6" ht="15" customHeight="1">
      <c r="A51" s="105" t="s">
        <v>264</v>
      </c>
      <c r="B51" s="106">
        <v>94955</v>
      </c>
      <c r="C51" s="106">
        <v>144419</v>
      </c>
      <c r="D51" s="106"/>
      <c r="E51" s="106">
        <v>125610</v>
      </c>
      <c r="F51" s="106">
        <v>139675</v>
      </c>
    </row>
    <row r="52" spans="1:6" ht="15" customHeight="1">
      <c r="A52" s="105" t="s">
        <v>265</v>
      </c>
      <c r="B52" s="106">
        <v>368993</v>
      </c>
      <c r="C52" s="106">
        <v>1276998</v>
      </c>
      <c r="D52" s="106"/>
      <c r="E52" s="106">
        <v>357785</v>
      </c>
      <c r="F52" s="106">
        <v>933260</v>
      </c>
    </row>
    <row r="53" spans="1:6" ht="15" customHeight="1">
      <c r="A53" s="105" t="s">
        <v>266</v>
      </c>
      <c r="B53" s="106">
        <v>111536</v>
      </c>
      <c r="C53" s="106">
        <v>137328</v>
      </c>
      <c r="D53" s="106"/>
      <c r="E53" s="106">
        <v>285473</v>
      </c>
      <c r="F53" s="106">
        <v>289331</v>
      </c>
    </row>
    <row r="54" spans="1:6" ht="15" customHeight="1">
      <c r="A54" s="105" t="s">
        <v>267</v>
      </c>
      <c r="B54" s="106">
        <v>103587</v>
      </c>
      <c r="C54" s="106">
        <v>225625</v>
      </c>
      <c r="D54" s="106"/>
      <c r="E54" s="106">
        <v>159899</v>
      </c>
      <c r="F54" s="106">
        <v>226559</v>
      </c>
    </row>
    <row r="55" spans="1:6" ht="15" customHeight="1">
      <c r="A55" s="105" t="s">
        <v>268</v>
      </c>
      <c r="B55" s="106">
        <v>206615</v>
      </c>
      <c r="C55" s="106">
        <v>387745</v>
      </c>
      <c r="D55" s="106"/>
      <c r="E55" s="106">
        <v>186127</v>
      </c>
      <c r="F55" s="106">
        <v>302381</v>
      </c>
    </row>
    <row r="56" spans="1:6" ht="15" customHeight="1">
      <c r="A56" s="105" t="s">
        <v>269</v>
      </c>
      <c r="B56" s="106">
        <v>50114</v>
      </c>
      <c r="C56" s="106">
        <v>289518</v>
      </c>
      <c r="D56" s="106"/>
      <c r="E56" s="106">
        <v>35518</v>
      </c>
      <c r="F56" s="106">
        <v>133338</v>
      </c>
    </row>
    <row r="57" spans="1:6" ht="15" customHeight="1">
      <c r="A57" s="124" t="s">
        <v>270</v>
      </c>
      <c r="B57" s="125">
        <v>289371</v>
      </c>
      <c r="C57" s="125">
        <v>724385</v>
      </c>
      <c r="D57" s="125"/>
      <c r="E57" s="125">
        <v>129138</v>
      </c>
      <c r="F57" s="125">
        <v>283858</v>
      </c>
    </row>
    <row r="58" spans="1:6" ht="15" customHeight="1">
      <c r="A58" s="124" t="s">
        <v>271</v>
      </c>
      <c r="B58" s="125">
        <v>1308</v>
      </c>
      <c r="C58" s="125">
        <v>22814</v>
      </c>
      <c r="D58" s="125"/>
      <c r="E58" s="126">
        <v>16</v>
      </c>
      <c r="F58" s="126">
        <v>146</v>
      </c>
    </row>
    <row r="59" spans="1:6" ht="15" customHeight="1">
      <c r="A59" s="105" t="s">
        <v>272</v>
      </c>
      <c r="B59" s="106">
        <v>1828</v>
      </c>
      <c r="C59" s="106">
        <v>19793</v>
      </c>
      <c r="D59" s="106"/>
      <c r="E59" s="107">
        <v>59</v>
      </c>
      <c r="F59" s="107">
        <v>531</v>
      </c>
    </row>
    <row r="60" spans="1:6" ht="15" customHeight="1">
      <c r="A60" s="105" t="s">
        <v>273</v>
      </c>
      <c r="B60" s="106">
        <v>9274</v>
      </c>
      <c r="C60" s="106">
        <v>269183</v>
      </c>
      <c r="D60" s="106"/>
      <c r="E60" s="106">
        <v>1033</v>
      </c>
      <c r="F60" s="106">
        <v>32939</v>
      </c>
    </row>
    <row r="61" spans="1:6" ht="15" customHeight="1">
      <c r="A61" s="105" t="s">
        <v>274</v>
      </c>
      <c r="B61" s="106">
        <v>158333</v>
      </c>
      <c r="C61" s="106">
        <v>239271</v>
      </c>
      <c r="D61" s="106"/>
      <c r="E61" s="106">
        <v>228162</v>
      </c>
      <c r="F61" s="106">
        <v>302597</v>
      </c>
    </row>
    <row r="62" spans="1:6" ht="15" customHeight="1">
      <c r="A62" s="105" t="s">
        <v>275</v>
      </c>
      <c r="B62" s="106">
        <v>335907</v>
      </c>
      <c r="C62" s="106">
        <v>840917</v>
      </c>
      <c r="D62" s="106"/>
      <c r="E62" s="106">
        <v>94249</v>
      </c>
      <c r="F62" s="106">
        <v>388373</v>
      </c>
    </row>
    <row r="63" spans="1:6" ht="15" customHeight="1">
      <c r="A63" s="105" t="s">
        <v>276</v>
      </c>
      <c r="B63" s="106">
        <v>54660</v>
      </c>
      <c r="C63" s="106">
        <v>368342</v>
      </c>
      <c r="D63" s="106"/>
      <c r="E63" s="106">
        <v>17020</v>
      </c>
      <c r="F63" s="106">
        <v>113749</v>
      </c>
    </row>
    <row r="64" spans="1:6" ht="15" customHeight="1">
      <c r="A64" s="105" t="s">
        <v>277</v>
      </c>
      <c r="B64" s="106">
        <v>199025</v>
      </c>
      <c r="C64" s="106">
        <v>100219</v>
      </c>
      <c r="D64" s="106"/>
      <c r="E64" s="106">
        <v>45012</v>
      </c>
      <c r="F64" s="107">
        <v>4</v>
      </c>
    </row>
    <row r="65" spans="1:6" ht="15" customHeight="1">
      <c r="A65" s="105" t="s">
        <v>278</v>
      </c>
      <c r="B65" s="106">
        <v>5006</v>
      </c>
      <c r="C65" s="106">
        <v>120092</v>
      </c>
      <c r="D65" s="106"/>
      <c r="E65" s="107">
        <v>0</v>
      </c>
      <c r="F65" s="107">
        <v>0</v>
      </c>
    </row>
    <row r="66" spans="1:6" ht="15" customHeight="1">
      <c r="A66" s="105" t="s">
        <v>279</v>
      </c>
      <c r="B66" s="106">
        <v>84722</v>
      </c>
      <c r="C66" s="106">
        <v>271182</v>
      </c>
      <c r="D66" s="106"/>
      <c r="E66" s="106">
        <v>38030</v>
      </c>
      <c r="F66" s="106">
        <v>167761</v>
      </c>
    </row>
    <row r="67" spans="1:6" ht="15" customHeight="1">
      <c r="A67" s="105" t="s">
        <v>280</v>
      </c>
      <c r="B67" s="106">
        <v>139572</v>
      </c>
      <c r="C67" s="106">
        <v>1485580</v>
      </c>
      <c r="D67" s="106"/>
      <c r="E67" s="106">
        <v>144793</v>
      </c>
      <c r="F67" s="106">
        <v>735209</v>
      </c>
    </row>
    <row r="68" spans="1:6" ht="15" customHeight="1">
      <c r="A68" s="105" t="s">
        <v>281</v>
      </c>
      <c r="B68" s="106">
        <v>3716</v>
      </c>
      <c r="C68" s="106">
        <v>525457</v>
      </c>
      <c r="D68" s="106"/>
      <c r="E68" s="107">
        <v>13</v>
      </c>
      <c r="F68" s="107">
        <v>50</v>
      </c>
    </row>
    <row r="69" spans="1:6" ht="15" customHeight="1">
      <c r="A69" s="105" t="s">
        <v>282</v>
      </c>
      <c r="B69" s="106">
        <v>135901</v>
      </c>
      <c r="C69" s="106">
        <v>1964836</v>
      </c>
      <c r="D69" s="106"/>
      <c r="E69" s="106">
        <v>310747</v>
      </c>
      <c r="F69" s="106">
        <v>1284631</v>
      </c>
    </row>
    <row r="70" spans="1:6" ht="15" customHeight="1">
      <c r="A70" s="105" t="s">
        <v>283</v>
      </c>
      <c r="B70" s="106">
        <v>1886</v>
      </c>
      <c r="C70" s="106">
        <v>83109</v>
      </c>
      <c r="D70" s="106"/>
      <c r="E70" s="106">
        <v>7216</v>
      </c>
      <c r="F70" s="106">
        <v>36544</v>
      </c>
    </row>
    <row r="71" spans="1:6" ht="15" customHeight="1">
      <c r="A71" s="105" t="s">
        <v>284</v>
      </c>
      <c r="B71" s="106">
        <v>34553</v>
      </c>
      <c r="C71" s="106">
        <v>350183</v>
      </c>
      <c r="D71" s="106"/>
      <c r="E71" s="106">
        <v>6215</v>
      </c>
      <c r="F71" s="106">
        <v>77312</v>
      </c>
    </row>
    <row r="72" spans="1:6" ht="15" customHeight="1">
      <c r="A72" s="105" t="s">
        <v>285</v>
      </c>
      <c r="B72" s="106">
        <v>26104</v>
      </c>
      <c r="C72" s="106">
        <v>528936</v>
      </c>
      <c r="D72" s="106"/>
      <c r="E72" s="106">
        <v>1890</v>
      </c>
      <c r="F72" s="106">
        <v>35529</v>
      </c>
    </row>
    <row r="73" spans="1:6" ht="15" customHeight="1">
      <c r="A73" s="105" t="s">
        <v>286</v>
      </c>
      <c r="B73" s="106">
        <v>7535</v>
      </c>
      <c r="C73" s="106">
        <v>75363</v>
      </c>
      <c r="D73" s="106"/>
      <c r="E73" s="106">
        <v>3666</v>
      </c>
      <c r="F73" s="106">
        <v>24055</v>
      </c>
    </row>
    <row r="74" spans="1:6" ht="18" customHeight="1" thickBot="1">
      <c r="A74" s="121" t="s">
        <v>11</v>
      </c>
      <c r="B74" s="127">
        <v>6151100</v>
      </c>
      <c r="C74" s="127">
        <v>19363698</v>
      </c>
      <c r="D74" s="127"/>
      <c r="E74" s="127">
        <v>4215042</v>
      </c>
      <c r="F74" s="127">
        <v>9389841</v>
      </c>
    </row>
    <row r="75" spans="1:6" ht="15" customHeight="1">
      <c r="A75" s="128" t="s">
        <v>287</v>
      </c>
    </row>
    <row r="76" spans="1:6" ht="24" customHeight="1">
      <c r="A76" s="470" t="s">
        <v>288</v>
      </c>
      <c r="B76" s="471"/>
      <c r="C76" s="471"/>
      <c r="D76" s="471"/>
      <c r="E76" s="471"/>
      <c r="F76" s="471"/>
    </row>
    <row r="77" spans="1:6" ht="15" customHeight="1">
      <c r="A77" s="128" t="s">
        <v>289</v>
      </c>
    </row>
    <row r="78" spans="1:6" ht="15" customHeight="1">
      <c r="A78" s="119" t="s">
        <v>290</v>
      </c>
    </row>
  </sheetData>
  <mergeCells count="6">
    <mergeCell ref="A76:F76"/>
    <mergeCell ref="G5:H5"/>
    <mergeCell ref="A22:H22"/>
    <mergeCell ref="A26:F26"/>
    <mergeCell ref="B27:C27"/>
    <mergeCell ref="E27:F27"/>
  </mergeCells>
  <hyperlinks>
    <hyperlink ref="A2" location="Contents!A1" display="(return to 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A2" sqref="A2"/>
    </sheetView>
  </sheetViews>
  <sheetFormatPr defaultRowHeight="14.6"/>
  <cols>
    <col min="1" max="1" width="33.07421875" customWidth="1"/>
    <col min="2" max="3" width="18.69140625" customWidth="1"/>
    <col min="4" max="4" width="3.3046875" customWidth="1"/>
    <col min="5" max="5" width="30.3046875" customWidth="1"/>
  </cols>
  <sheetData>
    <row r="1" spans="1:5" ht="17.600000000000001">
      <c r="A1" s="244" t="s">
        <v>735</v>
      </c>
    </row>
    <row r="2" spans="1:5" s="161" customFormat="1">
      <c r="A2" s="9" t="s">
        <v>820</v>
      </c>
    </row>
    <row r="3" spans="1:5" s="161" customFormat="1" ht="15" thickBot="1">
      <c r="A3" s="11"/>
      <c r="B3" s="11"/>
    </row>
    <row r="4" spans="1:5" s="27" customFormat="1" ht="35.15" thickBot="1">
      <c r="A4" s="291" t="s">
        <v>58</v>
      </c>
      <c r="B4" s="320" t="s">
        <v>8</v>
      </c>
      <c r="C4" s="356" t="s">
        <v>905</v>
      </c>
      <c r="D4" s="292"/>
      <c r="E4" s="356" t="s">
        <v>934</v>
      </c>
    </row>
    <row r="5" spans="1:5" s="27" customFormat="1" ht="11.6">
      <c r="B5" s="230" t="s">
        <v>15</v>
      </c>
      <c r="C5" s="230" t="s">
        <v>15</v>
      </c>
      <c r="E5" s="230" t="s">
        <v>15</v>
      </c>
    </row>
    <row r="6" spans="1:5" s="27" customFormat="1" ht="11.6">
      <c r="A6" s="354" t="s">
        <v>57</v>
      </c>
      <c r="B6" s="355">
        <v>62313</v>
      </c>
      <c r="C6" s="323">
        <f>B6*(1+'Main calculations'!$C$241/100)</f>
        <v>66762.148199999996</v>
      </c>
      <c r="D6" s="39"/>
      <c r="E6" s="39"/>
    </row>
    <row r="7" spans="1:5" s="27" customFormat="1" ht="11.6">
      <c r="A7" s="39" t="s">
        <v>62</v>
      </c>
      <c r="B7" s="322">
        <v>48094</v>
      </c>
      <c r="C7" s="323">
        <f>B7*(1+'Main calculations'!$C$241/100)</f>
        <v>51527.911599999992</v>
      </c>
      <c r="D7" s="39"/>
      <c r="E7" s="39"/>
    </row>
    <row r="8" spans="1:5" s="27" customFormat="1" ht="11.6">
      <c r="A8" s="39" t="s">
        <v>63</v>
      </c>
      <c r="B8" s="322">
        <v>14220</v>
      </c>
      <c r="C8" s="323">
        <f>B8*(1+'Main calculations'!$C$241/100)</f>
        <v>15235.307999999999</v>
      </c>
      <c r="D8" s="39"/>
      <c r="E8" s="39"/>
    </row>
    <row r="9" spans="1:5" s="27" customFormat="1" ht="11.6">
      <c r="A9" s="39"/>
      <c r="B9" s="322"/>
      <c r="C9" s="323"/>
      <c r="D9" s="39"/>
      <c r="E9" s="39"/>
    </row>
    <row r="10" spans="1:5">
      <c r="A10" s="354" t="s">
        <v>64</v>
      </c>
      <c r="B10" s="355">
        <v>56462</v>
      </c>
      <c r="C10" s="323">
        <f>B10*(1+'Main calculations'!$C$241/100)</f>
        <v>60493.386799999993</v>
      </c>
      <c r="D10" s="39"/>
      <c r="E10" s="375">
        <f>C10</f>
        <v>60493.386799999993</v>
      </c>
    </row>
    <row r="11" spans="1:5">
      <c r="A11" s="39" t="s">
        <v>77</v>
      </c>
      <c r="B11" s="322">
        <v>11031</v>
      </c>
      <c r="C11" s="323">
        <f>B11*(1+'Main calculations'!$C$241/100)</f>
        <v>11818.613399999998</v>
      </c>
      <c r="D11" s="39"/>
      <c r="E11" s="1"/>
    </row>
    <row r="12" spans="1:5">
      <c r="A12" s="39" t="s">
        <v>59</v>
      </c>
      <c r="B12" s="322">
        <v>9564</v>
      </c>
      <c r="C12" s="323">
        <f>B12*(1+'Main calculations'!$C$241/100)</f>
        <v>10246.8696</v>
      </c>
      <c r="D12" s="39"/>
      <c r="E12" s="375">
        <f>-C12</f>
        <v>-10246.8696</v>
      </c>
    </row>
    <row r="13" spans="1:5">
      <c r="A13" s="39" t="s">
        <v>65</v>
      </c>
      <c r="B13" s="322">
        <v>5552</v>
      </c>
      <c r="C13" s="323">
        <f>B13*(1+'Main calculations'!$C$241/100)</f>
        <v>5948.4127999999992</v>
      </c>
      <c r="D13" s="39"/>
      <c r="E13" s="1"/>
    </row>
    <row r="14" spans="1:5">
      <c r="A14" s="39" t="s">
        <v>66</v>
      </c>
      <c r="B14" s="322">
        <v>8131</v>
      </c>
      <c r="C14" s="323">
        <f>B14*(1+'Main calculations'!$C$241/100)</f>
        <v>8711.5533999999989</v>
      </c>
      <c r="D14" s="39"/>
      <c r="E14" s="1"/>
    </row>
    <row r="15" spans="1:5">
      <c r="A15" s="39" t="s">
        <v>67</v>
      </c>
      <c r="B15" s="322">
        <v>2365</v>
      </c>
      <c r="C15" s="323">
        <f>B15*(1+'Main calculations'!$C$241/100)</f>
        <v>2533.8609999999999</v>
      </c>
      <c r="D15" s="39"/>
      <c r="E15" s="375">
        <f>-C15</f>
        <v>-2533.8609999999999</v>
      </c>
    </row>
    <row r="16" spans="1:5">
      <c r="A16" s="39" t="s">
        <v>68</v>
      </c>
      <c r="B16" s="322">
        <v>9775</v>
      </c>
      <c r="C16" s="323">
        <f>B16*(1+'Main calculations'!$C$241/100)</f>
        <v>10472.934999999999</v>
      </c>
      <c r="D16" s="39"/>
      <c r="E16" s="1"/>
    </row>
    <row r="17" spans="1:5">
      <c r="A17" s="39" t="s">
        <v>69</v>
      </c>
      <c r="B17" s="322">
        <v>10044</v>
      </c>
      <c r="C17" s="323">
        <f>B17*(1+'Main calculations'!$C$241/100)</f>
        <v>10761.141599999999</v>
      </c>
      <c r="D17" s="39"/>
      <c r="E17" s="1"/>
    </row>
    <row r="18" spans="1:5" s="161" customFormat="1">
      <c r="A18" s="39"/>
      <c r="B18" s="322"/>
      <c r="C18" s="323"/>
      <c r="D18" s="39"/>
      <c r="E18" s="1"/>
    </row>
    <row r="19" spans="1:5">
      <c r="A19" s="354" t="s">
        <v>70</v>
      </c>
      <c r="B19" s="355">
        <v>16940</v>
      </c>
      <c r="C19" s="323">
        <f>B19*(1+'Main calculations'!$C$241/100)</f>
        <v>18149.516</v>
      </c>
      <c r="D19" s="39"/>
      <c r="E19" s="375">
        <f>C19</f>
        <v>18149.516</v>
      </c>
    </row>
    <row r="20" spans="1:5" s="161" customFormat="1">
      <c r="A20" s="354"/>
      <c r="B20" s="355"/>
      <c r="C20" s="323"/>
      <c r="D20" s="39"/>
      <c r="E20" s="1"/>
    </row>
    <row r="21" spans="1:5">
      <c r="A21" s="354" t="s">
        <v>71</v>
      </c>
      <c r="B21" s="355">
        <v>11281</v>
      </c>
      <c r="C21" s="323">
        <f>B21*(1+'Main calculations'!$C$241/100)</f>
        <v>12086.463399999999</v>
      </c>
      <c r="D21" s="354"/>
      <c r="E21" s="375">
        <f>C21</f>
        <v>12086.463399999999</v>
      </c>
    </row>
    <row r="22" spans="1:5">
      <c r="A22" s="39" t="s">
        <v>72</v>
      </c>
      <c r="B22" s="322">
        <v>3446</v>
      </c>
      <c r="C22" s="323">
        <f>B22*(1+'Main calculations'!$C$241/100)</f>
        <v>3692.0443999999998</v>
      </c>
      <c r="D22" s="39"/>
      <c r="E22" s="1"/>
    </row>
    <row r="23" spans="1:5">
      <c r="A23" s="39" t="s">
        <v>73</v>
      </c>
      <c r="B23" s="322">
        <v>4193</v>
      </c>
      <c r="C23" s="323">
        <f>B23*(1+'Main calculations'!$C$241/100)</f>
        <v>4492.3801999999996</v>
      </c>
      <c r="D23" s="376"/>
      <c r="E23" s="1"/>
    </row>
    <row r="24" spans="1:5" s="27" customFormat="1">
      <c r="A24" s="39" t="s">
        <v>61</v>
      </c>
      <c r="B24" s="322">
        <v>3642</v>
      </c>
      <c r="C24" s="323">
        <f>B24*(1+'Main calculations'!$C$241/100)</f>
        <v>3902.0387999999998</v>
      </c>
      <c r="D24" s="377"/>
      <c r="E24" s="323">
        <f>-C24</f>
        <v>-3902.0387999999998</v>
      </c>
    </row>
    <row r="25" spans="1:5" s="27" customFormat="1">
      <c r="A25" s="39"/>
      <c r="B25" s="322"/>
      <c r="C25" s="323"/>
      <c r="D25" s="377"/>
      <c r="E25" s="39"/>
    </row>
    <row r="26" spans="1:5" s="27" customFormat="1">
      <c r="A26" s="354" t="s">
        <v>56</v>
      </c>
      <c r="B26" s="355">
        <v>5068</v>
      </c>
      <c r="C26" s="323">
        <f>B26*(1+'Main calculations'!$C$241/100)</f>
        <v>5429.8552</v>
      </c>
      <c r="D26" s="1"/>
      <c r="E26" s="39"/>
    </row>
    <row r="27" spans="1:5" s="27" customFormat="1">
      <c r="A27" s="378" t="s">
        <v>74</v>
      </c>
      <c r="B27" s="379">
        <v>152065</v>
      </c>
      <c r="C27" s="380">
        <f>B27*(1+'Main calculations'!$C$241/100)</f>
        <v>162922.44099999999</v>
      </c>
      <c r="D27" s="1"/>
      <c r="E27" s="39"/>
    </row>
    <row r="28" spans="1:5" s="27" customFormat="1">
      <c r="A28" s="19"/>
      <c r="B28" s="55"/>
      <c r="C28" s="56"/>
      <c r="D28" s="161"/>
    </row>
    <row r="29" spans="1:5" s="27" customFormat="1">
      <c r="A29" s="26" t="s">
        <v>52</v>
      </c>
      <c r="B29" s="51">
        <v>9567</v>
      </c>
      <c r="C29" s="53">
        <f>B29*(1+'Main calculations'!$C$241/100)</f>
        <v>10250.083799999999</v>
      </c>
      <c r="D29" s="10"/>
    </row>
    <row r="30" spans="1:5" s="27" customFormat="1">
      <c r="A30" s="27" t="s">
        <v>75</v>
      </c>
      <c r="B30" s="38"/>
      <c r="C30" s="53"/>
      <c r="D30" s="10"/>
    </row>
    <row r="31" spans="1:5" s="27" customFormat="1">
      <c r="A31" s="19" t="s">
        <v>76</v>
      </c>
      <c r="B31" s="57">
        <v>161632</v>
      </c>
      <c r="C31" s="56">
        <f>B31*(1+'Main calculations'!$C$241/100)</f>
        <v>173172.52479999998</v>
      </c>
      <c r="D31" s="10"/>
      <c r="E31" s="2">
        <f>SUM(E10:E22)</f>
        <v>77948.635599999994</v>
      </c>
    </row>
    <row r="32" spans="1:5" s="27" customFormat="1" ht="36" thickBot="1">
      <c r="A32" s="225" t="s">
        <v>44</v>
      </c>
      <c r="B32" s="321" t="s">
        <v>734</v>
      </c>
      <c r="C32" s="321" t="s">
        <v>733</v>
      </c>
      <c r="D32" s="247"/>
      <c r="E32" s="381" t="s">
        <v>935</v>
      </c>
    </row>
    <row r="33" spans="4:4" s="27" customFormat="1">
      <c r="D33" s="10"/>
    </row>
  </sheetData>
  <hyperlinks>
    <hyperlink ref="A2" location="Contents!A1" display="(return to contents)"/>
  </hyperlink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A2" sqref="A2"/>
    </sheetView>
  </sheetViews>
  <sheetFormatPr defaultRowHeight="14.6"/>
  <cols>
    <col min="1" max="1" width="18.69140625" customWidth="1"/>
    <col min="9" max="9" width="2" customWidth="1"/>
    <col min="12" max="12" width="1.69140625" customWidth="1"/>
    <col min="14" max="14" width="12.53515625" style="161" customWidth="1"/>
    <col min="15" max="15" width="11.07421875" customWidth="1"/>
  </cols>
  <sheetData>
    <row r="1" spans="1:15" ht="17.600000000000001">
      <c r="A1" s="244" t="s">
        <v>736</v>
      </c>
    </row>
    <row r="2" spans="1:15" s="161" customFormat="1">
      <c r="A2" s="9" t="s">
        <v>820</v>
      </c>
    </row>
    <row r="3" spans="1:15" s="161" customFormat="1">
      <c r="A3"/>
    </row>
    <row r="4" spans="1:15" s="161" customFormat="1">
      <c r="A4" s="11" t="s">
        <v>719</v>
      </c>
      <c r="B4" s="11"/>
    </row>
    <row r="5" spans="1:15" s="27" customFormat="1" ht="11.6"/>
    <row r="6" spans="1:15" s="27" customFormat="1" ht="12" thickBot="1">
      <c r="A6" s="290"/>
      <c r="B6" s="481" t="s">
        <v>25</v>
      </c>
      <c r="C6" s="482"/>
      <c r="D6" s="482"/>
      <c r="E6" s="482"/>
      <c r="F6" s="482"/>
      <c r="G6" s="482"/>
      <c r="H6" s="482"/>
      <c r="I6" s="288"/>
      <c r="J6" s="288"/>
      <c r="K6" s="288"/>
      <c r="L6" s="288"/>
      <c r="M6" s="289"/>
      <c r="N6" s="289"/>
      <c r="O6" s="225"/>
    </row>
    <row r="7" spans="1:15" s="27" customFormat="1" ht="34.75">
      <c r="A7" s="43"/>
      <c r="B7" s="44" t="s">
        <v>26</v>
      </c>
      <c r="C7" s="44" t="s">
        <v>27</v>
      </c>
      <c r="D7" s="44" t="s">
        <v>28</v>
      </c>
      <c r="E7" s="44" t="s">
        <v>29</v>
      </c>
      <c r="F7" s="44" t="s">
        <v>30</v>
      </c>
      <c r="G7" s="44" t="s">
        <v>31</v>
      </c>
      <c r="H7" s="44" t="s">
        <v>32</v>
      </c>
      <c r="J7" s="44" t="s">
        <v>33</v>
      </c>
      <c r="K7" s="44" t="s">
        <v>34</v>
      </c>
      <c r="L7" s="44"/>
      <c r="M7" s="44" t="s">
        <v>35</v>
      </c>
      <c r="N7" s="483" t="s">
        <v>906</v>
      </c>
      <c r="O7" s="483"/>
    </row>
    <row r="8" spans="1:15" s="27" customFormat="1" ht="23.6" thickBot="1">
      <c r="A8" s="479" t="s">
        <v>36</v>
      </c>
      <c r="B8" s="480"/>
      <c r="C8" s="480"/>
      <c r="D8" s="480"/>
      <c r="E8" s="480"/>
      <c r="F8" s="480"/>
      <c r="G8" s="480"/>
      <c r="H8" s="480"/>
      <c r="I8" s="480"/>
      <c r="J8" s="480"/>
      <c r="K8" s="480"/>
      <c r="L8" s="480"/>
      <c r="M8" s="480"/>
      <c r="N8" s="293" t="s">
        <v>7</v>
      </c>
      <c r="O8" s="259" t="s">
        <v>907</v>
      </c>
    </row>
    <row r="9" spans="1:15" s="27" customFormat="1" ht="11.6">
      <c r="A9" s="45" t="s">
        <v>10</v>
      </c>
      <c r="B9" s="46"/>
      <c r="C9" s="46"/>
      <c r="D9" s="46"/>
      <c r="E9" s="46"/>
      <c r="F9" s="46"/>
      <c r="G9" s="46"/>
      <c r="H9" s="46"/>
      <c r="I9" s="46"/>
      <c r="J9" s="46"/>
      <c r="K9" s="46"/>
      <c r="L9" s="46"/>
      <c r="M9" s="46"/>
      <c r="N9" s="46"/>
    </row>
    <row r="10" spans="1:15" s="27" customFormat="1" ht="11.6">
      <c r="A10" s="47" t="s">
        <v>21</v>
      </c>
      <c r="B10" s="48">
        <v>733</v>
      </c>
      <c r="C10" s="48">
        <v>853.2</v>
      </c>
      <c r="D10" s="48">
        <v>689.4</v>
      </c>
      <c r="E10" s="48">
        <v>564.4</v>
      </c>
      <c r="F10" s="48">
        <v>462.4</v>
      </c>
      <c r="G10" s="48">
        <v>263.10000000000002</v>
      </c>
      <c r="H10" s="48">
        <v>117.2</v>
      </c>
      <c r="I10" s="49"/>
      <c r="J10" s="48">
        <v>92.4</v>
      </c>
      <c r="K10" s="48">
        <v>29.6</v>
      </c>
      <c r="L10" s="49"/>
      <c r="M10" s="48">
        <v>3671.8</v>
      </c>
      <c r="N10" s="48"/>
    </row>
    <row r="11" spans="1:15" s="27" customFormat="1" ht="11.6">
      <c r="A11" s="47" t="s">
        <v>37</v>
      </c>
      <c r="B11" s="48">
        <v>1173.7</v>
      </c>
      <c r="C11" s="48">
        <v>1366.4</v>
      </c>
      <c r="D11" s="48">
        <v>1281.4000000000001</v>
      </c>
      <c r="E11" s="48">
        <v>1164.4000000000001</v>
      </c>
      <c r="F11" s="48">
        <v>856.9</v>
      </c>
      <c r="G11" s="48">
        <v>601.70000000000005</v>
      </c>
      <c r="H11" s="48">
        <v>343.8</v>
      </c>
      <c r="I11" s="49"/>
      <c r="J11" s="48">
        <v>265.8</v>
      </c>
      <c r="K11" s="48">
        <v>77.099999999999994</v>
      </c>
      <c r="L11" s="49"/>
      <c r="M11" s="48">
        <v>6780.8</v>
      </c>
      <c r="N11" s="48"/>
    </row>
    <row r="12" spans="1:15" s="27" customFormat="1" ht="11.6">
      <c r="A12" s="47" t="s">
        <v>38</v>
      </c>
      <c r="B12" s="48">
        <v>1911</v>
      </c>
      <c r="C12" s="48">
        <v>2220.9</v>
      </c>
      <c r="D12" s="48">
        <v>1961.6</v>
      </c>
      <c r="E12" s="48">
        <v>1726.2</v>
      </c>
      <c r="F12" s="48">
        <v>1310.5</v>
      </c>
      <c r="G12" s="48">
        <v>861.9</v>
      </c>
      <c r="H12" s="48">
        <v>464.9</v>
      </c>
      <c r="I12" s="49"/>
      <c r="J12" s="48">
        <v>354.6</v>
      </c>
      <c r="K12" s="48">
        <v>107.5</v>
      </c>
      <c r="L12" s="49"/>
      <c r="M12" s="48">
        <v>10450.200000000001</v>
      </c>
      <c r="N12" s="48"/>
    </row>
    <row r="13" spans="1:15" s="27" customFormat="1" ht="11.6">
      <c r="A13" s="47" t="s">
        <v>22</v>
      </c>
      <c r="B13" s="48">
        <v>835.7</v>
      </c>
      <c r="C13" s="48">
        <v>871.1</v>
      </c>
      <c r="D13" s="48">
        <v>874.3</v>
      </c>
      <c r="E13" s="48">
        <v>925.3</v>
      </c>
      <c r="F13" s="48">
        <v>811.4</v>
      </c>
      <c r="G13" s="48">
        <v>592</v>
      </c>
      <c r="H13" s="48">
        <v>474.7</v>
      </c>
      <c r="I13" s="49"/>
      <c r="J13" s="48">
        <v>369.7</v>
      </c>
      <c r="K13" s="48">
        <v>101.6</v>
      </c>
      <c r="L13" s="49"/>
      <c r="M13" s="48">
        <v>5373.2</v>
      </c>
      <c r="N13" s="48"/>
    </row>
    <row r="14" spans="1:15" s="27" customFormat="1" ht="11.6">
      <c r="A14" s="47" t="s">
        <v>23</v>
      </c>
      <c r="B14" s="48">
        <v>225.4</v>
      </c>
      <c r="C14" s="48">
        <v>231.1</v>
      </c>
      <c r="D14" s="48">
        <v>262.5</v>
      </c>
      <c r="E14" s="48">
        <v>296.5</v>
      </c>
      <c r="F14" s="48">
        <v>349.8</v>
      </c>
      <c r="G14" s="48">
        <v>300.89999999999998</v>
      </c>
      <c r="H14" s="48">
        <v>263.5</v>
      </c>
      <c r="I14" s="49"/>
      <c r="J14" s="48">
        <v>191.7</v>
      </c>
      <c r="K14" s="48">
        <v>75.599999999999994</v>
      </c>
      <c r="L14" s="49"/>
      <c r="M14" s="48">
        <v>1937.5</v>
      </c>
      <c r="N14" s="48"/>
    </row>
    <row r="15" spans="1:15" s="27" customFormat="1" ht="11.6">
      <c r="A15" s="47" t="s">
        <v>24</v>
      </c>
      <c r="B15" s="48">
        <v>53.8</v>
      </c>
      <c r="C15" s="48">
        <v>67.900000000000006</v>
      </c>
      <c r="D15" s="48">
        <v>68.5</v>
      </c>
      <c r="E15" s="48">
        <v>108.8</v>
      </c>
      <c r="F15" s="48">
        <v>193.4</v>
      </c>
      <c r="G15" s="48">
        <v>179.6</v>
      </c>
      <c r="H15" s="48">
        <v>146.69999999999999</v>
      </c>
      <c r="I15" s="49"/>
      <c r="J15" s="48">
        <v>116.7</v>
      </c>
      <c r="K15" s="48">
        <v>34.299999999999997</v>
      </c>
      <c r="L15" s="49"/>
      <c r="M15" s="48">
        <v>819.2</v>
      </c>
      <c r="N15" s="48"/>
    </row>
    <row r="16" spans="1:15" s="27" customFormat="1" ht="11.6">
      <c r="A16" s="47" t="s">
        <v>39</v>
      </c>
      <c r="B16" s="48">
        <v>274.3</v>
      </c>
      <c r="C16" s="48">
        <v>303</v>
      </c>
      <c r="D16" s="48">
        <v>333.3</v>
      </c>
      <c r="E16" s="48">
        <v>403.9</v>
      </c>
      <c r="F16" s="48">
        <v>542</v>
      </c>
      <c r="G16" s="48">
        <v>487.9</v>
      </c>
      <c r="H16" s="48">
        <v>415.2</v>
      </c>
      <c r="J16" s="48">
        <v>305.2</v>
      </c>
      <c r="K16" s="48">
        <v>105.2</v>
      </c>
      <c r="L16" s="49"/>
      <c r="M16" s="48">
        <v>2753.4</v>
      </c>
      <c r="N16" s="68">
        <f>SUM(B16:H16)/SUM(B17:H17)</f>
        <v>0.14850531413964752</v>
      </c>
      <c r="O16" s="324">
        <f>M16/M17</f>
        <v>0.14818681850962834</v>
      </c>
    </row>
    <row r="17" spans="1:15" s="27" customFormat="1" ht="12" thickBot="1">
      <c r="A17" s="285" t="s">
        <v>11</v>
      </c>
      <c r="B17" s="286">
        <v>3012</v>
      </c>
      <c r="C17" s="286">
        <v>3390.8</v>
      </c>
      <c r="D17" s="286">
        <v>3167.1</v>
      </c>
      <c r="E17" s="286">
        <v>3056.5</v>
      </c>
      <c r="F17" s="286">
        <v>2669.6</v>
      </c>
      <c r="G17" s="286">
        <v>1937.7</v>
      </c>
      <c r="H17" s="286">
        <v>1348.8</v>
      </c>
      <c r="I17" s="287"/>
      <c r="J17" s="286">
        <v>1034.5</v>
      </c>
      <c r="K17" s="286">
        <v>311.3</v>
      </c>
      <c r="L17" s="287"/>
      <c r="M17" s="286">
        <v>18580.599999999999</v>
      </c>
      <c r="N17" s="286"/>
      <c r="O17" s="225"/>
    </row>
    <row r="18" spans="1:15" s="27" customFormat="1" ht="11.6">
      <c r="A18" s="50"/>
      <c r="B18" s="48"/>
      <c r="C18" s="48"/>
      <c r="D18" s="48"/>
      <c r="E18" s="48"/>
      <c r="F18" s="48"/>
      <c r="G18" s="48"/>
      <c r="H18" s="48"/>
      <c r="I18" s="49"/>
      <c r="J18" s="48"/>
      <c r="K18" s="48"/>
      <c r="L18" s="49"/>
      <c r="M18" s="48"/>
      <c r="N18" s="48"/>
    </row>
    <row r="19" spans="1:15">
      <c r="A19" s="357" t="s">
        <v>908</v>
      </c>
    </row>
  </sheetData>
  <mergeCells count="3">
    <mergeCell ref="A8:M8"/>
    <mergeCell ref="B6:H6"/>
    <mergeCell ref="N7:O7"/>
  </mergeCells>
  <hyperlinks>
    <hyperlink ref="A2" location="Contents!A1" display="(return to contents)"/>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
  <sheetViews>
    <sheetView workbookViewId="0">
      <selection activeCell="A2" sqref="A2"/>
    </sheetView>
  </sheetViews>
  <sheetFormatPr defaultRowHeight="14.6"/>
  <sheetData>
    <row r="1" spans="1:54" ht="17.600000000000001">
      <c r="A1" s="244" t="s">
        <v>737</v>
      </c>
    </row>
    <row r="2" spans="1:54" s="161" customFormat="1">
      <c r="A2" s="9" t="s">
        <v>820</v>
      </c>
    </row>
    <row r="4" spans="1:54" s="161" customFormat="1" ht="15" thickBot="1">
      <c r="A4" s="41" t="s">
        <v>13</v>
      </c>
      <c r="B4" s="11"/>
      <c r="C4" s="19"/>
    </row>
    <row r="5" spans="1:54" s="27" customFormat="1" ht="11.6">
      <c r="A5" s="294" t="s">
        <v>171</v>
      </c>
      <c r="B5" s="294">
        <v>38047</v>
      </c>
      <c r="C5" s="294">
        <v>38139</v>
      </c>
      <c r="D5" s="294">
        <v>38231</v>
      </c>
      <c r="E5" s="294">
        <v>38322</v>
      </c>
      <c r="F5" s="294">
        <v>38412</v>
      </c>
      <c r="G5" s="294">
        <v>38504</v>
      </c>
      <c r="H5" s="294">
        <v>38596</v>
      </c>
      <c r="I5" s="294">
        <v>38687</v>
      </c>
      <c r="J5" s="294">
        <v>38777</v>
      </c>
      <c r="K5" s="294">
        <v>38869</v>
      </c>
      <c r="L5" s="294">
        <v>38961</v>
      </c>
      <c r="M5" s="294">
        <v>39052</v>
      </c>
      <c r="N5" s="294">
        <v>39142</v>
      </c>
      <c r="O5" s="294">
        <v>39234</v>
      </c>
      <c r="P5" s="294">
        <v>39326</v>
      </c>
      <c r="Q5" s="294">
        <v>39417</v>
      </c>
      <c r="R5" s="294">
        <v>39508</v>
      </c>
      <c r="S5" s="294">
        <v>39600</v>
      </c>
      <c r="T5" s="294">
        <v>39692</v>
      </c>
      <c r="U5" s="294">
        <v>39783</v>
      </c>
      <c r="V5" s="294">
        <v>39873</v>
      </c>
      <c r="W5" s="294">
        <v>39965</v>
      </c>
      <c r="X5" s="294">
        <v>40057</v>
      </c>
      <c r="Y5" s="294">
        <v>40148</v>
      </c>
      <c r="Z5" s="294">
        <v>40238</v>
      </c>
      <c r="AA5" s="294">
        <v>40330</v>
      </c>
      <c r="AB5" s="294">
        <v>40422</v>
      </c>
      <c r="AC5" s="294">
        <v>40513</v>
      </c>
      <c r="AD5" s="294">
        <v>40603</v>
      </c>
      <c r="AE5" s="294">
        <v>40695</v>
      </c>
      <c r="AF5" s="294">
        <v>40787</v>
      </c>
      <c r="AG5" s="294">
        <v>40878</v>
      </c>
      <c r="AH5" s="294">
        <v>40969</v>
      </c>
      <c r="AI5" s="294">
        <v>41061</v>
      </c>
      <c r="AJ5" s="294">
        <v>41153</v>
      </c>
      <c r="AK5" s="294">
        <v>41244</v>
      </c>
      <c r="AL5" s="294">
        <v>41334</v>
      </c>
      <c r="AM5" s="294">
        <v>41426</v>
      </c>
      <c r="AN5" s="294">
        <v>41518</v>
      </c>
      <c r="AO5" s="294">
        <v>41609</v>
      </c>
      <c r="AP5" s="294">
        <v>41699</v>
      </c>
      <c r="AQ5" s="294">
        <v>41791</v>
      </c>
      <c r="AR5" s="294">
        <v>41883</v>
      </c>
      <c r="AS5" s="294">
        <v>41974</v>
      </c>
      <c r="AT5" s="294">
        <v>42064</v>
      </c>
      <c r="AU5" s="294">
        <v>42156</v>
      </c>
      <c r="AV5" s="294">
        <v>42248</v>
      </c>
      <c r="AW5" s="294">
        <v>42339</v>
      </c>
      <c r="AX5" s="294">
        <v>42430</v>
      </c>
      <c r="AY5" s="294">
        <v>42522</v>
      </c>
      <c r="AZ5" s="294">
        <v>42614</v>
      </c>
      <c r="BA5" s="294">
        <v>42705</v>
      </c>
      <c r="BB5" s="294">
        <v>42795</v>
      </c>
    </row>
    <row r="6" spans="1:54" s="27" customFormat="1" ht="12" thickBot="1">
      <c r="A6" s="225" t="s">
        <v>738</v>
      </c>
      <c r="B6" s="325">
        <v>80.2</v>
      </c>
      <c r="C6" s="325">
        <v>80.599999999999994</v>
      </c>
      <c r="D6" s="325">
        <v>80.900000000000006</v>
      </c>
      <c r="E6" s="325">
        <v>81.5</v>
      </c>
      <c r="F6" s="325">
        <v>82.1</v>
      </c>
      <c r="G6" s="325">
        <v>82.6</v>
      </c>
      <c r="H6" s="325">
        <v>83.4</v>
      </c>
      <c r="I6" s="325">
        <v>83.8</v>
      </c>
      <c r="J6" s="325">
        <v>84.5</v>
      </c>
      <c r="K6" s="325">
        <v>85.9</v>
      </c>
      <c r="L6" s="325">
        <v>86.7</v>
      </c>
      <c r="M6" s="325">
        <v>86.6</v>
      </c>
      <c r="N6" s="325">
        <v>86.6</v>
      </c>
      <c r="O6" s="325">
        <v>87.7</v>
      </c>
      <c r="P6" s="325">
        <v>88.3</v>
      </c>
      <c r="Q6" s="325">
        <v>89.1</v>
      </c>
      <c r="R6" s="325">
        <v>90.3</v>
      </c>
      <c r="S6" s="325">
        <v>91.6</v>
      </c>
      <c r="T6" s="325">
        <v>92.7</v>
      </c>
      <c r="U6" s="325">
        <v>92.4</v>
      </c>
      <c r="V6" s="325">
        <v>92.5</v>
      </c>
      <c r="W6" s="325">
        <v>92.9</v>
      </c>
      <c r="X6" s="325">
        <v>93.8</v>
      </c>
      <c r="Y6" s="325">
        <v>94.3</v>
      </c>
      <c r="Z6" s="325">
        <v>95.2</v>
      </c>
      <c r="AA6" s="325">
        <v>95.8</v>
      </c>
      <c r="AB6" s="325">
        <v>96.5</v>
      </c>
      <c r="AC6" s="325">
        <v>96.9</v>
      </c>
      <c r="AD6" s="325">
        <v>98.3</v>
      </c>
      <c r="AE6" s="325">
        <v>99.2</v>
      </c>
      <c r="AF6" s="325">
        <v>99.8</v>
      </c>
      <c r="AG6" s="325">
        <v>99.8</v>
      </c>
      <c r="AH6" s="325">
        <v>99.9</v>
      </c>
      <c r="AI6" s="325">
        <v>100.4</v>
      </c>
      <c r="AJ6" s="325">
        <v>101.8</v>
      </c>
      <c r="AK6" s="325">
        <v>102</v>
      </c>
      <c r="AL6" s="325">
        <v>102.4</v>
      </c>
      <c r="AM6" s="325">
        <v>102.8</v>
      </c>
      <c r="AN6" s="325">
        <v>104</v>
      </c>
      <c r="AO6" s="325">
        <v>104.8</v>
      </c>
      <c r="AP6" s="325">
        <v>105.4</v>
      </c>
      <c r="AQ6" s="325">
        <v>105.9</v>
      </c>
      <c r="AR6" s="325">
        <v>106.4</v>
      </c>
      <c r="AS6" s="325">
        <v>106.6</v>
      </c>
      <c r="AT6" s="325">
        <v>106.8</v>
      </c>
      <c r="AU6" s="325">
        <v>107.5</v>
      </c>
      <c r="AV6" s="325">
        <v>108</v>
      </c>
      <c r="AW6" s="325">
        <v>108.4</v>
      </c>
      <c r="AX6" s="325">
        <v>108.2</v>
      </c>
      <c r="AY6" s="325">
        <v>108.6</v>
      </c>
      <c r="AZ6" s="325">
        <v>109.4</v>
      </c>
      <c r="BA6" s="325">
        <v>110</v>
      </c>
      <c r="BB6" s="325">
        <v>110.5</v>
      </c>
    </row>
    <row r="7" spans="1:54" s="27" customFormat="1" ht="11.6">
      <c r="B7" s="40"/>
    </row>
    <row r="8" spans="1:54" s="27" customFormat="1" ht="11.6">
      <c r="B8" s="40"/>
    </row>
    <row r="9" spans="1:54" s="27" customFormat="1" ht="12" thickBot="1">
      <c r="A9" s="326" t="s">
        <v>740</v>
      </c>
      <c r="B9" s="40"/>
    </row>
    <row r="10" spans="1:54" s="27" customFormat="1" ht="11.6">
      <c r="A10" s="294" t="s">
        <v>739</v>
      </c>
      <c r="B10" s="318" t="s">
        <v>19</v>
      </c>
      <c r="C10" s="318" t="s">
        <v>14</v>
      </c>
      <c r="D10" s="318">
        <v>2009</v>
      </c>
      <c r="E10" s="318" t="s">
        <v>17</v>
      </c>
      <c r="F10" s="327" t="s">
        <v>16</v>
      </c>
      <c r="G10" s="318" t="s">
        <v>78</v>
      </c>
      <c r="H10" s="328">
        <v>41730</v>
      </c>
      <c r="I10" s="329">
        <v>2016</v>
      </c>
      <c r="J10" s="42"/>
    </row>
    <row r="11" spans="1:54" ht="15" thickBot="1">
      <c r="A11" s="225" t="s">
        <v>738</v>
      </c>
      <c r="B11" s="295">
        <f>AVERAGE(H6:K6)</f>
        <v>84.4</v>
      </c>
      <c r="C11" s="295">
        <f>AVERAGE(O6:R6)</f>
        <v>88.850000000000009</v>
      </c>
      <c r="D11" s="295">
        <f>AVERAGE(V6:Y6)</f>
        <v>93.375</v>
      </c>
      <c r="E11" s="295">
        <f>AVERAGE(AB6:AE6)</f>
        <v>97.724999999999994</v>
      </c>
      <c r="F11" s="295">
        <f>AVERAGE(AJ6:AM6)</f>
        <v>102.25000000000001</v>
      </c>
      <c r="G11" s="295">
        <f>AVERAGE(AR6:AU6)</f>
        <v>106.825</v>
      </c>
      <c r="H11" s="295">
        <f>AP6</f>
        <v>105.4</v>
      </c>
      <c r="I11" s="295">
        <f>AVERAGE(AX6:BA6)</f>
        <v>109.05000000000001</v>
      </c>
    </row>
    <row r="12" spans="1:54">
      <c r="A12" s="27"/>
      <c r="B12" s="27"/>
      <c r="C12" s="27"/>
      <c r="D12" s="27"/>
      <c r="E12" s="27"/>
      <c r="F12" s="27"/>
      <c r="G12" s="27"/>
      <c r="H12" s="27"/>
      <c r="I12" s="27"/>
    </row>
  </sheetData>
  <hyperlinks>
    <hyperlink ref="A2" location="Contents!A1" display="(return to contents)"/>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pane xSplit="1" ySplit="14" topLeftCell="B15" activePane="bottomRight" state="frozen"/>
      <selection pane="topRight" activeCell="B1" sqref="B1"/>
      <selection pane="bottomLeft" activeCell="A11" sqref="A11"/>
      <selection pane="bottomRight" activeCell="A2" sqref="A2"/>
    </sheetView>
  </sheetViews>
  <sheetFormatPr defaultColWidth="14.69140625" defaultRowHeight="10.3"/>
  <cols>
    <col min="1" max="16384" width="14.69140625" style="169"/>
  </cols>
  <sheetData>
    <row r="1" spans="1:11" ht="17.600000000000001">
      <c r="A1" s="244" t="s">
        <v>741</v>
      </c>
    </row>
    <row r="2" spans="1:11" s="161" customFormat="1" ht="14.6">
      <c r="A2" s="9" t="s">
        <v>820</v>
      </c>
    </row>
    <row r="3" spans="1:11" ht="15.45">
      <c r="A3" s="173"/>
      <c r="B3" s="174"/>
      <c r="C3" s="174"/>
      <c r="D3" s="174"/>
      <c r="E3" s="174"/>
      <c r="F3" s="174"/>
      <c r="G3" s="174"/>
      <c r="H3" s="174"/>
      <c r="I3" s="174"/>
      <c r="J3" s="174"/>
      <c r="K3" s="174"/>
    </row>
    <row r="4" spans="1:11" ht="15.45">
      <c r="A4" s="484" t="s">
        <v>534</v>
      </c>
      <c r="B4" s="484"/>
      <c r="C4" s="484"/>
      <c r="D4" s="484"/>
      <c r="E4" s="484"/>
      <c r="F4" s="484"/>
      <c r="G4" s="484"/>
      <c r="H4" s="484"/>
      <c r="I4" s="484"/>
      <c r="J4" s="484"/>
      <c r="K4" s="484"/>
    </row>
    <row r="5" spans="1:11" s="166" customFormat="1" ht="41.15">
      <c r="B5" s="167" t="s">
        <v>526</v>
      </c>
      <c r="C5" s="167" t="s">
        <v>527</v>
      </c>
      <c r="D5" s="167" t="s">
        <v>528</v>
      </c>
    </row>
    <row r="6" spans="1:11">
      <c r="A6" s="59" t="s">
        <v>94</v>
      </c>
      <c r="B6" s="168" t="s">
        <v>2</v>
      </c>
      <c r="C6" s="168" t="s">
        <v>2</v>
      </c>
      <c r="D6" s="168" t="s">
        <v>2</v>
      </c>
    </row>
    <row r="7" spans="1:11">
      <c r="A7" s="59" t="s">
        <v>165</v>
      </c>
      <c r="B7" s="168" t="s">
        <v>40</v>
      </c>
      <c r="C7" s="168" t="s">
        <v>40</v>
      </c>
      <c r="D7" s="168" t="s">
        <v>40</v>
      </c>
    </row>
    <row r="8" spans="1:11">
      <c r="A8" s="59" t="s">
        <v>166</v>
      </c>
      <c r="B8" s="168" t="s">
        <v>529</v>
      </c>
      <c r="C8" s="168" t="s">
        <v>529</v>
      </c>
      <c r="D8" s="168" t="s">
        <v>529</v>
      </c>
    </row>
    <row r="9" spans="1:11">
      <c r="A9" s="59" t="s">
        <v>170</v>
      </c>
      <c r="B9" s="168" t="s">
        <v>530</v>
      </c>
      <c r="C9" s="168" t="s">
        <v>530</v>
      </c>
      <c r="D9" s="168" t="s">
        <v>530</v>
      </c>
    </row>
    <row r="10" spans="1:11">
      <c r="A10" s="59" t="s">
        <v>172</v>
      </c>
      <c r="B10" s="169">
        <v>2</v>
      </c>
      <c r="C10" s="169">
        <v>2</v>
      </c>
      <c r="D10" s="169">
        <v>2</v>
      </c>
    </row>
    <row r="11" spans="1:11" s="170" customFormat="1">
      <c r="A11" s="62" t="s">
        <v>173</v>
      </c>
      <c r="B11" s="170">
        <v>34653</v>
      </c>
      <c r="C11" s="170">
        <v>34653</v>
      </c>
      <c r="D11" s="170">
        <v>34653</v>
      </c>
    </row>
    <row r="12" spans="1:11" s="170" customFormat="1">
      <c r="A12" s="62" t="s">
        <v>174</v>
      </c>
      <c r="B12" s="170">
        <v>42689</v>
      </c>
      <c r="C12" s="170">
        <v>42689</v>
      </c>
      <c r="D12" s="170">
        <v>42689</v>
      </c>
    </row>
    <row r="13" spans="1:11">
      <c r="A13" s="59" t="s">
        <v>175</v>
      </c>
      <c r="B13" s="169">
        <v>45</v>
      </c>
      <c r="C13" s="169">
        <v>45</v>
      </c>
      <c r="D13" s="169">
        <v>45</v>
      </c>
    </row>
    <row r="14" spans="1:11">
      <c r="A14" s="59" t="s">
        <v>176</v>
      </c>
      <c r="B14" s="168" t="s">
        <v>531</v>
      </c>
      <c r="C14" s="168" t="s">
        <v>532</v>
      </c>
      <c r="D14" s="168" t="s">
        <v>533</v>
      </c>
    </row>
    <row r="15" spans="1:11">
      <c r="A15" s="171">
        <v>42139</v>
      </c>
      <c r="B15" s="172">
        <v>1483.1</v>
      </c>
      <c r="C15" s="172">
        <v>1541.5</v>
      </c>
      <c r="D15" s="172">
        <v>1136.9000000000001</v>
      </c>
    </row>
    <row r="16" spans="1:11">
      <c r="A16" s="171">
        <v>42323</v>
      </c>
      <c r="B16" s="172">
        <v>1500.5</v>
      </c>
      <c r="C16" s="172">
        <v>1560.5</v>
      </c>
      <c r="D16" s="172">
        <v>1145.7</v>
      </c>
    </row>
    <row r="17" spans="1:4">
      <c r="A17" s="171">
        <v>42505</v>
      </c>
      <c r="B17" s="172">
        <v>1516</v>
      </c>
      <c r="C17" s="172">
        <v>1573.3</v>
      </c>
      <c r="D17" s="172">
        <v>1160.9000000000001</v>
      </c>
    </row>
    <row r="18" spans="1:4">
      <c r="A18" s="171">
        <v>42689</v>
      </c>
      <c r="B18" s="172">
        <v>1533.4</v>
      </c>
      <c r="C18" s="172">
        <v>1595.5</v>
      </c>
      <c r="D18" s="172">
        <v>1163.5</v>
      </c>
    </row>
    <row r="20" spans="1:4">
      <c r="A20" s="169" t="s">
        <v>5</v>
      </c>
      <c r="B20" s="444">
        <f>AVERAGE(A85002148L_Data)</f>
        <v>1508.25</v>
      </c>
      <c r="C20" s="169">
        <f>AVERAGE(A85002151A_Data)</f>
        <v>1567.7</v>
      </c>
      <c r="D20" s="183">
        <f>AVERAGE(A85002157R_Data)</f>
        <v>1151.75</v>
      </c>
    </row>
  </sheetData>
  <mergeCells count="1">
    <mergeCell ref="A4:K4"/>
  </mergeCells>
  <hyperlinks>
    <hyperlink ref="A2" location="Contents!A1" display="(return to contents)"/>
  </hyperlinks>
  <pageMargins left="0.75" right="0.75" top="1" bottom="1" header="0.5" footer="0.5"/>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A2" sqref="A2"/>
    </sheetView>
  </sheetViews>
  <sheetFormatPr defaultColWidth="9.53515625" defaultRowHeight="10.95" customHeight="1"/>
  <cols>
    <col min="1" max="1" width="57.3046875" style="175" customWidth="1"/>
    <col min="2" max="16384" width="9.53515625" style="175"/>
  </cols>
  <sheetData>
    <row r="1" spans="1:9" ht="17.600000000000001">
      <c r="A1" s="330" t="s">
        <v>546</v>
      </c>
      <c r="B1" s="145"/>
      <c r="C1" s="145"/>
      <c r="D1" s="145"/>
      <c r="E1" s="145"/>
      <c r="F1" s="145"/>
      <c r="G1" s="145"/>
      <c r="H1" s="145"/>
      <c r="I1" s="145"/>
    </row>
    <row r="2" spans="1:9" s="161" customFormat="1" ht="14.6">
      <c r="A2" s="9" t="s">
        <v>820</v>
      </c>
    </row>
    <row r="3" spans="1:9" ht="10.95" customHeight="1">
      <c r="B3" s="145"/>
      <c r="C3" s="145"/>
      <c r="D3" s="145"/>
      <c r="E3" s="145"/>
      <c r="F3" s="145"/>
      <c r="G3" s="145"/>
      <c r="H3" s="145"/>
      <c r="I3" s="145"/>
    </row>
    <row r="4" spans="1:9" ht="10.95" customHeight="1">
      <c r="A4" s="176" t="s">
        <v>535</v>
      </c>
      <c r="B4" s="145"/>
      <c r="C4" s="145"/>
      <c r="D4" s="145"/>
      <c r="E4" s="145"/>
      <c r="F4" s="145"/>
      <c r="G4" s="145"/>
      <c r="H4" s="145"/>
      <c r="I4" s="145"/>
    </row>
    <row r="5" spans="1:9" ht="10.95" customHeight="1">
      <c r="A5" s="176" t="s">
        <v>536</v>
      </c>
      <c r="B5" s="145"/>
      <c r="C5" s="145"/>
      <c r="D5" s="145"/>
      <c r="E5" s="145"/>
      <c r="F5" s="145"/>
      <c r="G5" s="145"/>
      <c r="H5" s="145"/>
      <c r="I5" s="145"/>
    </row>
    <row r="6" spans="1:9" ht="10.95" customHeight="1">
      <c r="A6" s="177" t="s">
        <v>537</v>
      </c>
      <c r="B6" s="145"/>
      <c r="C6" s="145"/>
      <c r="D6" s="145"/>
      <c r="E6" s="145"/>
      <c r="F6" s="145"/>
      <c r="G6" s="145"/>
      <c r="H6" s="145"/>
      <c r="I6" s="145"/>
    </row>
    <row r="7" spans="1:9" ht="10.95" customHeight="1">
      <c r="A7" s="145"/>
      <c r="B7" s="145"/>
      <c r="C7" s="145"/>
      <c r="D7" s="145"/>
      <c r="E7" s="145"/>
      <c r="F7" s="145"/>
      <c r="G7" s="145"/>
      <c r="H7" s="145"/>
      <c r="I7" s="145"/>
    </row>
    <row r="8" spans="1:9" ht="10.95" customHeight="1">
      <c r="A8" s="178" t="s">
        <v>538</v>
      </c>
      <c r="B8" s="179" t="s">
        <v>539</v>
      </c>
      <c r="C8" s="145"/>
      <c r="D8" s="145"/>
      <c r="E8" s="145"/>
      <c r="F8" s="145"/>
      <c r="G8" s="145"/>
      <c r="H8" s="145"/>
      <c r="I8" s="145"/>
    </row>
    <row r="9" spans="1:9" ht="10.95" customHeight="1">
      <c r="A9" s="180" t="s">
        <v>540</v>
      </c>
      <c r="B9" s="185">
        <v>32.9</v>
      </c>
      <c r="C9" s="145"/>
      <c r="D9" s="145"/>
      <c r="E9" s="145"/>
      <c r="F9" s="145"/>
      <c r="G9" s="145"/>
      <c r="H9" s="145"/>
      <c r="I9" s="145"/>
    </row>
    <row r="10" spans="1:9" ht="10.95" customHeight="1">
      <c r="A10" s="180" t="s">
        <v>541</v>
      </c>
      <c r="B10" s="184">
        <v>39.799999999999997</v>
      </c>
      <c r="C10" s="145"/>
      <c r="D10" s="145"/>
      <c r="E10" s="145"/>
      <c r="F10" s="145"/>
      <c r="G10" s="145"/>
      <c r="H10" s="145"/>
      <c r="I10" s="145"/>
    </row>
    <row r="11" spans="1:9" ht="10.95" customHeight="1">
      <c r="A11" s="181" t="s">
        <v>542</v>
      </c>
      <c r="B11" s="182">
        <v>17.2</v>
      </c>
      <c r="C11" s="145"/>
      <c r="D11" s="145"/>
      <c r="E11" s="145"/>
      <c r="F11" s="145"/>
      <c r="G11" s="145"/>
      <c r="H11" s="145"/>
      <c r="I11" s="145"/>
    </row>
    <row r="12" spans="1:9" ht="10.95" customHeight="1">
      <c r="A12" s="145"/>
      <c r="B12" s="145"/>
      <c r="C12" s="145"/>
      <c r="D12" s="145"/>
      <c r="E12" s="145"/>
      <c r="F12" s="145"/>
      <c r="G12" s="145"/>
      <c r="H12" s="145"/>
      <c r="I12" s="145"/>
    </row>
    <row r="13" spans="1:9" ht="10.95" customHeight="1">
      <c r="A13" s="176"/>
      <c r="B13" s="145"/>
      <c r="C13" s="145"/>
      <c r="D13" s="145"/>
      <c r="E13" s="145"/>
      <c r="F13" s="145"/>
      <c r="G13" s="145"/>
      <c r="H13" s="145"/>
      <c r="I13" s="145"/>
    </row>
    <row r="14" spans="1:9" ht="10.95" customHeight="1">
      <c r="A14" s="176"/>
      <c r="B14" s="145"/>
      <c r="C14" s="145"/>
      <c r="D14" s="145"/>
      <c r="E14" s="145"/>
      <c r="F14" s="145"/>
      <c r="G14" s="145"/>
      <c r="H14" s="145"/>
      <c r="I14" s="145"/>
    </row>
    <row r="15" spans="1:9" ht="10.95" customHeight="1">
      <c r="A15" s="176"/>
      <c r="B15" s="145"/>
      <c r="C15" s="145"/>
      <c r="D15" s="145"/>
      <c r="E15" s="145"/>
      <c r="F15" s="145"/>
      <c r="G15" s="145"/>
      <c r="H15" s="145"/>
      <c r="I15" s="145"/>
    </row>
    <row r="16" spans="1:9" ht="10.95" customHeight="1">
      <c r="A16" s="176"/>
      <c r="B16" s="145"/>
      <c r="C16" s="145"/>
      <c r="D16" s="145"/>
      <c r="E16" s="145"/>
      <c r="F16" s="145"/>
      <c r="G16" s="145"/>
      <c r="H16" s="145"/>
      <c r="I16" s="145"/>
    </row>
    <row r="17" spans="1:9" ht="10.95" customHeight="1">
      <c r="A17" s="145"/>
      <c r="B17" s="145"/>
      <c r="C17" s="145"/>
      <c r="D17" s="145"/>
      <c r="E17" s="145"/>
      <c r="F17" s="145"/>
      <c r="G17" s="145"/>
      <c r="H17" s="145"/>
      <c r="I17" s="145"/>
    </row>
  </sheetData>
  <hyperlinks>
    <hyperlink ref="A2" location="Contents!A1" display="(return to contents)"/>
  </hyperlink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workbookViewId="0">
      <pane xSplit="1" ySplit="14" topLeftCell="B15" activePane="bottomRight" state="frozen"/>
      <selection pane="topRight" activeCell="B1" sqref="B1"/>
      <selection pane="bottomLeft" activeCell="A11" sqref="A11"/>
      <selection pane="bottomRight" activeCell="A2" sqref="A2"/>
    </sheetView>
  </sheetViews>
  <sheetFormatPr defaultColWidth="14.69140625" defaultRowHeight="10.3"/>
  <cols>
    <col min="1" max="16384" width="14.69140625" style="61"/>
  </cols>
  <sheetData>
    <row r="1" spans="1:14" ht="17.600000000000001">
      <c r="A1" s="332" t="s">
        <v>742</v>
      </c>
    </row>
    <row r="2" spans="1:14" s="161" customFormat="1" ht="14.6">
      <c r="A2" s="9" t="s">
        <v>820</v>
      </c>
    </row>
    <row r="3" spans="1:14" ht="17.600000000000001">
      <c r="A3" s="332"/>
    </row>
    <row r="4" spans="1:14" ht="15.45">
      <c r="A4" s="331" t="s">
        <v>190</v>
      </c>
    </row>
    <row r="5" spans="1:14" s="58" customFormat="1" ht="100.2" customHeight="1">
      <c r="B5" s="7" t="s">
        <v>150</v>
      </c>
      <c r="C5" s="7" t="s">
        <v>151</v>
      </c>
      <c r="D5" s="7" t="s">
        <v>152</v>
      </c>
      <c r="E5" s="7" t="s">
        <v>153</v>
      </c>
      <c r="F5" s="7" t="s">
        <v>154</v>
      </c>
      <c r="G5" s="7" t="s">
        <v>155</v>
      </c>
      <c r="H5" s="7" t="s">
        <v>156</v>
      </c>
      <c r="I5" s="7" t="s">
        <v>157</v>
      </c>
      <c r="J5" s="7" t="s">
        <v>158</v>
      </c>
      <c r="K5" s="7" t="s">
        <v>159</v>
      </c>
      <c r="L5" s="7" t="s">
        <v>160</v>
      </c>
      <c r="M5" s="7" t="s">
        <v>161</v>
      </c>
      <c r="N5" s="7" t="s">
        <v>162</v>
      </c>
    </row>
    <row r="6" spans="1:14">
      <c r="A6" s="59" t="s">
        <v>94</v>
      </c>
      <c r="B6" s="60" t="s">
        <v>163</v>
      </c>
      <c r="C6" s="60" t="s">
        <v>163</v>
      </c>
      <c r="D6" s="60" t="s">
        <v>163</v>
      </c>
      <c r="E6" s="60" t="s">
        <v>163</v>
      </c>
      <c r="F6" s="60" t="s">
        <v>163</v>
      </c>
      <c r="G6" s="60" t="s">
        <v>163</v>
      </c>
      <c r="H6" s="60" t="s">
        <v>163</v>
      </c>
      <c r="I6" s="60" t="s">
        <v>163</v>
      </c>
      <c r="J6" s="60" t="s">
        <v>163</v>
      </c>
      <c r="K6" s="60" t="s">
        <v>163</v>
      </c>
      <c r="L6" s="60" t="s">
        <v>163</v>
      </c>
      <c r="M6" s="60" t="s">
        <v>163</v>
      </c>
      <c r="N6" s="8" t="s">
        <v>164</v>
      </c>
    </row>
    <row r="7" spans="1:14">
      <c r="A7" s="59" t="s">
        <v>165</v>
      </c>
      <c r="B7" s="8" t="s">
        <v>40</v>
      </c>
      <c r="C7" s="8" t="s">
        <v>40</v>
      </c>
      <c r="D7" s="8" t="s">
        <v>40</v>
      </c>
      <c r="E7" s="8" t="s">
        <v>40</v>
      </c>
      <c r="F7" s="8" t="s">
        <v>40</v>
      </c>
      <c r="G7" s="8" t="s">
        <v>40</v>
      </c>
      <c r="H7" s="8" t="s">
        <v>40</v>
      </c>
      <c r="I7" s="8" t="s">
        <v>40</v>
      </c>
      <c r="J7" s="8" t="s">
        <v>40</v>
      </c>
      <c r="K7" s="8" t="s">
        <v>40</v>
      </c>
      <c r="L7" s="8" t="s">
        <v>40</v>
      </c>
      <c r="M7" s="8" t="s">
        <v>40</v>
      </c>
      <c r="N7" s="8" t="s">
        <v>40</v>
      </c>
    </row>
    <row r="8" spans="1:14">
      <c r="A8" s="59" t="s">
        <v>166</v>
      </c>
      <c r="B8" s="8" t="s">
        <v>167</v>
      </c>
      <c r="C8" s="8" t="s">
        <v>167</v>
      </c>
      <c r="D8" s="8" t="s">
        <v>167</v>
      </c>
      <c r="E8" s="8" t="s">
        <v>167</v>
      </c>
      <c r="F8" s="8" t="s">
        <v>167</v>
      </c>
      <c r="G8" s="8" t="s">
        <v>167</v>
      </c>
      <c r="H8" s="8" t="s">
        <v>167</v>
      </c>
      <c r="I8" s="8" t="s">
        <v>167</v>
      </c>
      <c r="J8" s="8" t="s">
        <v>167</v>
      </c>
      <c r="K8" s="8" t="s">
        <v>167</v>
      </c>
      <c r="L8" s="8" t="s">
        <v>168</v>
      </c>
      <c r="M8" s="8" t="s">
        <v>167</v>
      </c>
      <c r="N8" s="8" t="s">
        <v>169</v>
      </c>
    </row>
    <row r="9" spans="1:14">
      <c r="A9" s="59" t="s">
        <v>170</v>
      </c>
      <c r="B9" s="8" t="s">
        <v>171</v>
      </c>
      <c r="C9" s="8" t="s">
        <v>171</v>
      </c>
      <c r="D9" s="8" t="s">
        <v>171</v>
      </c>
      <c r="E9" s="8" t="s">
        <v>171</v>
      </c>
      <c r="F9" s="8" t="s">
        <v>171</v>
      </c>
      <c r="G9" s="8" t="s">
        <v>171</v>
      </c>
      <c r="H9" s="8" t="s">
        <v>171</v>
      </c>
      <c r="I9" s="8" t="s">
        <v>171</v>
      </c>
      <c r="J9" s="8" t="s">
        <v>171</v>
      </c>
      <c r="K9" s="8" t="s">
        <v>171</v>
      </c>
      <c r="L9" s="8" t="s">
        <v>171</v>
      </c>
      <c r="M9" s="8" t="s">
        <v>171</v>
      </c>
      <c r="N9" s="8" t="s">
        <v>171</v>
      </c>
    </row>
    <row r="10" spans="1:14">
      <c r="A10" s="59" t="s">
        <v>172</v>
      </c>
      <c r="B10" s="61">
        <v>3</v>
      </c>
      <c r="C10" s="61">
        <v>3</v>
      </c>
      <c r="D10" s="61">
        <v>3</v>
      </c>
      <c r="E10" s="61">
        <v>3</v>
      </c>
      <c r="F10" s="61">
        <v>3</v>
      </c>
      <c r="G10" s="61">
        <v>3</v>
      </c>
      <c r="H10" s="61">
        <v>3</v>
      </c>
      <c r="I10" s="61">
        <v>3</v>
      </c>
      <c r="J10" s="61">
        <v>3</v>
      </c>
      <c r="K10" s="61">
        <v>3</v>
      </c>
      <c r="L10" s="61">
        <v>3</v>
      </c>
      <c r="M10" s="61">
        <v>3</v>
      </c>
      <c r="N10" s="61">
        <v>3</v>
      </c>
    </row>
    <row r="11" spans="1:14" s="63" customFormat="1">
      <c r="A11" s="62" t="s">
        <v>173</v>
      </c>
      <c r="B11" s="63">
        <v>29738</v>
      </c>
      <c r="C11" s="63">
        <v>29738</v>
      </c>
      <c r="D11" s="63">
        <v>29738</v>
      </c>
      <c r="E11" s="63">
        <v>29738</v>
      </c>
      <c r="F11" s="63">
        <v>29738</v>
      </c>
      <c r="G11" s="63">
        <v>29738</v>
      </c>
      <c r="H11" s="63">
        <v>29738</v>
      </c>
      <c r="I11" s="63">
        <v>29738</v>
      </c>
      <c r="J11" s="63">
        <v>29738</v>
      </c>
      <c r="K11" s="63">
        <v>29738</v>
      </c>
      <c r="L11" s="63">
        <v>29738</v>
      </c>
      <c r="M11" s="63">
        <v>29738</v>
      </c>
      <c r="N11" s="63">
        <v>29738</v>
      </c>
    </row>
    <row r="12" spans="1:14" s="63" customFormat="1">
      <c r="A12" s="62" t="s">
        <v>174</v>
      </c>
      <c r="B12" s="63">
        <v>42614</v>
      </c>
      <c r="C12" s="63">
        <v>42614</v>
      </c>
      <c r="D12" s="63">
        <v>42614</v>
      </c>
      <c r="E12" s="63">
        <v>42614</v>
      </c>
      <c r="F12" s="63">
        <v>42614</v>
      </c>
      <c r="G12" s="63">
        <v>42614</v>
      </c>
      <c r="H12" s="63">
        <v>42614</v>
      </c>
      <c r="I12" s="63">
        <v>42614</v>
      </c>
      <c r="J12" s="63">
        <v>42614</v>
      </c>
      <c r="K12" s="63">
        <v>42614</v>
      </c>
      <c r="L12" s="63">
        <v>42614</v>
      </c>
      <c r="M12" s="63">
        <v>42614</v>
      </c>
      <c r="N12" s="63">
        <v>42614</v>
      </c>
    </row>
    <row r="13" spans="1:14">
      <c r="A13" s="59" t="s">
        <v>175</v>
      </c>
      <c r="B13" s="61">
        <v>142</v>
      </c>
      <c r="C13" s="61">
        <v>142</v>
      </c>
      <c r="D13" s="61">
        <v>142</v>
      </c>
      <c r="E13" s="61">
        <v>142</v>
      </c>
      <c r="F13" s="61">
        <v>142</v>
      </c>
      <c r="G13" s="61">
        <v>142</v>
      </c>
      <c r="H13" s="61">
        <v>142</v>
      </c>
      <c r="I13" s="61">
        <v>142</v>
      </c>
      <c r="J13" s="61">
        <v>142</v>
      </c>
      <c r="K13" s="61">
        <v>142</v>
      </c>
      <c r="L13" s="61">
        <v>142</v>
      </c>
      <c r="M13" s="61">
        <v>142</v>
      </c>
      <c r="N13" s="61">
        <v>142</v>
      </c>
    </row>
    <row r="14" spans="1:14">
      <c r="A14" s="59" t="s">
        <v>176</v>
      </c>
      <c r="B14" s="8" t="s">
        <v>177</v>
      </c>
      <c r="C14" s="8" t="s">
        <v>178</v>
      </c>
      <c r="D14" s="8" t="s">
        <v>179</v>
      </c>
      <c r="E14" s="8" t="s">
        <v>180</v>
      </c>
      <c r="F14" s="8" t="s">
        <v>181</v>
      </c>
      <c r="G14" s="8" t="s">
        <v>182</v>
      </c>
      <c r="H14" s="8" t="s">
        <v>183</v>
      </c>
      <c r="I14" s="8" t="s">
        <v>184</v>
      </c>
      <c r="J14" s="8" t="s">
        <v>185</v>
      </c>
      <c r="K14" s="8" t="s">
        <v>186</v>
      </c>
      <c r="L14" s="8" t="s">
        <v>187</v>
      </c>
      <c r="M14" s="8" t="s">
        <v>188</v>
      </c>
      <c r="N14" s="8" t="s">
        <v>189</v>
      </c>
    </row>
    <row r="15" spans="1:14">
      <c r="A15" s="6">
        <v>29738</v>
      </c>
      <c r="B15" s="64">
        <v>60.3</v>
      </c>
      <c r="C15" s="64">
        <v>26.7</v>
      </c>
      <c r="D15" s="64">
        <v>33.6</v>
      </c>
      <c r="E15" s="64">
        <v>78</v>
      </c>
      <c r="F15" s="64">
        <v>78</v>
      </c>
      <c r="G15" s="64">
        <v>48.2</v>
      </c>
      <c r="H15" s="64">
        <v>19.100000000000001</v>
      </c>
      <c r="I15" s="64">
        <v>29.1</v>
      </c>
      <c r="J15" s="64">
        <v>-3.6</v>
      </c>
      <c r="K15" s="64">
        <v>25.6</v>
      </c>
      <c r="L15" s="64">
        <v>14923.3</v>
      </c>
      <c r="M15" s="64"/>
      <c r="N15" s="65"/>
    </row>
    <row r="16" spans="1:14">
      <c r="A16" s="6">
        <v>29830</v>
      </c>
      <c r="B16" s="64">
        <v>61</v>
      </c>
      <c r="C16" s="64">
        <v>31.5</v>
      </c>
      <c r="D16" s="64">
        <v>29.6</v>
      </c>
      <c r="E16" s="64">
        <v>76.599999999999994</v>
      </c>
      <c r="F16" s="64">
        <v>76.599999999999994</v>
      </c>
      <c r="G16" s="64">
        <v>50</v>
      </c>
      <c r="H16" s="64">
        <v>19.100000000000001</v>
      </c>
      <c r="I16" s="64">
        <v>30.8</v>
      </c>
      <c r="J16" s="64">
        <v>3.3</v>
      </c>
      <c r="K16" s="64">
        <v>34.1</v>
      </c>
      <c r="L16" s="64">
        <v>14988.7</v>
      </c>
      <c r="M16" s="64"/>
      <c r="N16" s="65"/>
    </row>
    <row r="17" spans="1:14">
      <c r="A17" s="6">
        <v>29921</v>
      </c>
      <c r="B17" s="64">
        <v>55</v>
      </c>
      <c r="C17" s="64">
        <v>25.7</v>
      </c>
      <c r="D17" s="64">
        <v>29.3</v>
      </c>
      <c r="E17" s="64">
        <v>65.900000000000006</v>
      </c>
      <c r="F17" s="64">
        <v>65.900000000000006</v>
      </c>
      <c r="G17" s="64">
        <v>56.7</v>
      </c>
      <c r="H17" s="64">
        <v>21.7</v>
      </c>
      <c r="I17" s="64">
        <v>35</v>
      </c>
      <c r="J17" s="64">
        <v>-0.5</v>
      </c>
      <c r="K17" s="64">
        <v>34.5</v>
      </c>
      <c r="L17" s="64">
        <v>15054.1</v>
      </c>
      <c r="M17" s="64"/>
      <c r="N17" s="65"/>
    </row>
    <row r="18" spans="1:14">
      <c r="A18" s="6">
        <v>30011</v>
      </c>
      <c r="B18" s="64">
        <v>60.6</v>
      </c>
      <c r="C18" s="64">
        <v>26.1</v>
      </c>
      <c r="D18" s="64">
        <v>34.5</v>
      </c>
      <c r="E18" s="64">
        <v>70.3</v>
      </c>
      <c r="F18" s="64">
        <v>70.3</v>
      </c>
      <c r="G18" s="64">
        <v>58.7</v>
      </c>
      <c r="H18" s="64">
        <v>26.3</v>
      </c>
      <c r="I18" s="64">
        <v>32.4</v>
      </c>
      <c r="J18" s="64">
        <v>-1</v>
      </c>
      <c r="K18" s="64">
        <v>31.4</v>
      </c>
      <c r="L18" s="64">
        <v>15121.7</v>
      </c>
      <c r="M18" s="64"/>
      <c r="N18" s="65"/>
    </row>
    <row r="19" spans="1:14">
      <c r="A19" s="6">
        <v>30103</v>
      </c>
      <c r="B19" s="64">
        <v>60.5</v>
      </c>
      <c r="C19" s="64">
        <v>27.7</v>
      </c>
      <c r="D19" s="64">
        <v>32.700000000000003</v>
      </c>
      <c r="E19" s="64">
        <v>81.7</v>
      </c>
      <c r="F19" s="64">
        <v>81.7</v>
      </c>
      <c r="G19" s="64">
        <v>45.3</v>
      </c>
      <c r="H19" s="64">
        <v>20.5</v>
      </c>
      <c r="I19" s="64">
        <v>24.8</v>
      </c>
      <c r="J19" s="64">
        <v>3.3</v>
      </c>
      <c r="K19" s="64">
        <v>28.1</v>
      </c>
      <c r="L19" s="64">
        <v>15184.2</v>
      </c>
      <c r="M19" s="64">
        <v>261</v>
      </c>
      <c r="N19" s="65">
        <v>1.75</v>
      </c>
    </row>
    <row r="20" spans="1:14">
      <c r="A20" s="6">
        <v>30195</v>
      </c>
      <c r="B20" s="64">
        <v>60.3</v>
      </c>
      <c r="C20" s="64">
        <v>33.9</v>
      </c>
      <c r="D20" s="64">
        <v>26.4</v>
      </c>
      <c r="E20" s="64">
        <v>66.900000000000006</v>
      </c>
      <c r="F20" s="64">
        <v>66.900000000000006</v>
      </c>
      <c r="G20" s="64">
        <v>45.6</v>
      </c>
      <c r="H20" s="64">
        <v>21.2</v>
      </c>
      <c r="I20" s="64">
        <v>24.4</v>
      </c>
      <c r="J20" s="64">
        <v>2.5</v>
      </c>
      <c r="K20" s="64">
        <v>26.9</v>
      </c>
      <c r="L20" s="64">
        <v>15239.3</v>
      </c>
      <c r="M20" s="64">
        <v>250.6</v>
      </c>
      <c r="N20" s="65">
        <v>1.67</v>
      </c>
    </row>
    <row r="21" spans="1:14">
      <c r="A21" s="6">
        <v>30286</v>
      </c>
      <c r="B21" s="64">
        <v>58.6</v>
      </c>
      <c r="C21" s="64">
        <v>27.1</v>
      </c>
      <c r="D21" s="64">
        <v>31.5</v>
      </c>
      <c r="E21" s="64">
        <v>58.7</v>
      </c>
      <c r="F21" s="64">
        <v>58.7</v>
      </c>
      <c r="G21" s="64">
        <v>45.6</v>
      </c>
      <c r="H21" s="64">
        <v>24.3</v>
      </c>
      <c r="I21" s="64">
        <v>21.3</v>
      </c>
      <c r="J21" s="64">
        <v>-5</v>
      </c>
      <c r="K21" s="64">
        <v>16.3</v>
      </c>
      <c r="L21" s="64">
        <v>15288.9</v>
      </c>
      <c r="M21" s="64">
        <v>234.8</v>
      </c>
      <c r="N21" s="65">
        <v>1.56</v>
      </c>
    </row>
    <row r="22" spans="1:14">
      <c r="A22" s="6">
        <v>30376</v>
      </c>
      <c r="B22" s="64">
        <v>61.9</v>
      </c>
      <c r="C22" s="64">
        <v>25.6</v>
      </c>
      <c r="D22" s="64">
        <v>36.4</v>
      </c>
      <c r="E22" s="64">
        <v>57.5</v>
      </c>
      <c r="F22" s="64">
        <v>57.5</v>
      </c>
      <c r="G22" s="64">
        <v>47.4</v>
      </c>
      <c r="H22" s="64">
        <v>29.3</v>
      </c>
      <c r="I22" s="64">
        <v>18.100000000000001</v>
      </c>
      <c r="J22" s="64">
        <v>1.1000000000000001</v>
      </c>
      <c r="K22" s="64">
        <v>19.2</v>
      </c>
      <c r="L22" s="64">
        <v>15346.2</v>
      </c>
      <c r="M22" s="64">
        <v>224.5</v>
      </c>
      <c r="N22" s="65">
        <v>1.48</v>
      </c>
    </row>
    <row r="23" spans="1:14">
      <c r="A23" s="6">
        <v>30468</v>
      </c>
      <c r="B23" s="64">
        <v>61</v>
      </c>
      <c r="C23" s="64">
        <v>26.4</v>
      </c>
      <c r="D23" s="64">
        <v>34.6</v>
      </c>
      <c r="E23" s="64">
        <v>71</v>
      </c>
      <c r="F23" s="64">
        <v>71</v>
      </c>
      <c r="G23" s="64">
        <v>34.1</v>
      </c>
      <c r="H23" s="64">
        <v>22.5</v>
      </c>
      <c r="I23" s="64">
        <v>11.6</v>
      </c>
      <c r="J23" s="64">
        <v>-0.7</v>
      </c>
      <c r="K23" s="64">
        <v>10.9</v>
      </c>
      <c r="L23" s="64">
        <v>15393.5</v>
      </c>
      <c r="M23" s="64">
        <v>209.2</v>
      </c>
      <c r="N23" s="65">
        <v>1.38</v>
      </c>
    </row>
    <row r="24" spans="1:14">
      <c r="A24" s="6">
        <v>30560</v>
      </c>
      <c r="B24" s="64">
        <v>62</v>
      </c>
      <c r="C24" s="64">
        <v>31.9</v>
      </c>
      <c r="D24" s="64">
        <v>30.1</v>
      </c>
      <c r="E24" s="64">
        <v>62.4</v>
      </c>
      <c r="F24" s="64">
        <v>62.4</v>
      </c>
      <c r="G24" s="64">
        <v>34.200000000000003</v>
      </c>
      <c r="H24" s="64">
        <v>23.9</v>
      </c>
      <c r="I24" s="64">
        <v>10.3</v>
      </c>
      <c r="J24" s="64">
        <v>3.3</v>
      </c>
      <c r="K24" s="64">
        <v>13.6</v>
      </c>
      <c r="L24" s="64">
        <v>15439</v>
      </c>
      <c r="M24" s="64">
        <v>199.7</v>
      </c>
      <c r="N24" s="65">
        <v>1.31</v>
      </c>
    </row>
    <row r="25" spans="1:14">
      <c r="A25" s="6">
        <v>30651</v>
      </c>
      <c r="B25" s="64">
        <v>57.6</v>
      </c>
      <c r="C25" s="64">
        <v>26.2</v>
      </c>
      <c r="D25" s="64">
        <v>31.4</v>
      </c>
      <c r="E25" s="64">
        <v>52.4</v>
      </c>
      <c r="F25" s="64">
        <v>52.4</v>
      </c>
      <c r="G25" s="64">
        <v>37.799999999999997</v>
      </c>
      <c r="H25" s="64">
        <v>24.8</v>
      </c>
      <c r="I25" s="64">
        <v>13</v>
      </c>
      <c r="J25" s="64">
        <v>-1.7</v>
      </c>
      <c r="K25" s="64">
        <v>11.3</v>
      </c>
      <c r="L25" s="64">
        <v>15483.5</v>
      </c>
      <c r="M25" s="64">
        <v>194.6</v>
      </c>
      <c r="N25" s="65">
        <v>1.27</v>
      </c>
    </row>
    <row r="26" spans="1:14">
      <c r="A26" s="6">
        <v>30742</v>
      </c>
      <c r="B26" s="64">
        <v>61.1</v>
      </c>
      <c r="C26" s="64">
        <v>25.9</v>
      </c>
      <c r="D26" s="64">
        <v>35.200000000000003</v>
      </c>
      <c r="E26" s="64">
        <v>62.8</v>
      </c>
      <c r="F26" s="64">
        <v>62.8</v>
      </c>
      <c r="G26" s="64">
        <v>41.3</v>
      </c>
      <c r="H26" s="64">
        <v>27</v>
      </c>
      <c r="I26" s="64">
        <v>14.3</v>
      </c>
      <c r="J26" s="64">
        <v>-3.3</v>
      </c>
      <c r="K26" s="64">
        <v>11</v>
      </c>
      <c r="L26" s="64">
        <v>15531.5</v>
      </c>
      <c r="M26" s="64">
        <v>185.3</v>
      </c>
      <c r="N26" s="65">
        <v>1.21</v>
      </c>
    </row>
    <row r="27" spans="1:14">
      <c r="A27" s="6">
        <v>30834</v>
      </c>
      <c r="B27" s="64">
        <v>59.8</v>
      </c>
      <c r="C27" s="64">
        <v>26.9</v>
      </c>
      <c r="D27" s="64">
        <v>32.9</v>
      </c>
      <c r="E27" s="64">
        <v>67.3</v>
      </c>
      <c r="F27" s="64">
        <v>67.3</v>
      </c>
      <c r="G27" s="64">
        <v>32</v>
      </c>
      <c r="H27" s="64">
        <v>23</v>
      </c>
      <c r="I27" s="64">
        <v>9</v>
      </c>
      <c r="J27" s="64">
        <v>4.2</v>
      </c>
      <c r="K27" s="64">
        <v>13.2</v>
      </c>
      <c r="L27" s="64">
        <v>15579.4</v>
      </c>
      <c r="M27" s="64">
        <v>185.9</v>
      </c>
      <c r="N27" s="65">
        <v>1.21</v>
      </c>
    </row>
    <row r="28" spans="1:14">
      <c r="A28" s="6">
        <v>30926</v>
      </c>
      <c r="B28" s="64">
        <v>60.7</v>
      </c>
      <c r="C28" s="64">
        <v>31.9</v>
      </c>
      <c r="D28" s="64">
        <v>28.8</v>
      </c>
      <c r="E28" s="64">
        <v>65.7</v>
      </c>
      <c r="F28" s="64">
        <v>65.7</v>
      </c>
      <c r="G28" s="64">
        <v>36.799999999999997</v>
      </c>
      <c r="H28" s="64">
        <v>22</v>
      </c>
      <c r="I28" s="64">
        <v>14.9</v>
      </c>
      <c r="J28" s="64">
        <v>3.6</v>
      </c>
      <c r="K28" s="64">
        <v>18.5</v>
      </c>
      <c r="L28" s="64">
        <v>15628.5</v>
      </c>
      <c r="M28" s="64">
        <v>189.5</v>
      </c>
      <c r="N28" s="65">
        <v>1.23</v>
      </c>
    </row>
    <row r="29" spans="1:14">
      <c r="A29" s="6">
        <v>31017</v>
      </c>
      <c r="B29" s="64">
        <v>56.9</v>
      </c>
      <c r="C29" s="64">
        <v>27.2</v>
      </c>
      <c r="D29" s="64">
        <v>29.7</v>
      </c>
      <c r="E29" s="64">
        <v>58.9</v>
      </c>
      <c r="F29" s="64">
        <v>58.9</v>
      </c>
      <c r="G29" s="64">
        <v>43.4</v>
      </c>
      <c r="H29" s="64">
        <v>24.4</v>
      </c>
      <c r="I29" s="64">
        <v>19.100000000000001</v>
      </c>
      <c r="J29" s="64">
        <v>-1.9</v>
      </c>
      <c r="K29" s="64">
        <v>17.2</v>
      </c>
      <c r="L29" s="64">
        <v>15677.3</v>
      </c>
      <c r="M29" s="64">
        <v>193.8</v>
      </c>
      <c r="N29" s="65">
        <v>1.25</v>
      </c>
    </row>
    <row r="30" spans="1:14">
      <c r="A30" s="6">
        <v>31107</v>
      </c>
      <c r="B30" s="64">
        <v>62.3</v>
      </c>
      <c r="C30" s="64">
        <v>26.6</v>
      </c>
      <c r="D30" s="64">
        <v>35.6</v>
      </c>
      <c r="E30" s="64">
        <v>67.8</v>
      </c>
      <c r="F30" s="64">
        <v>67.8</v>
      </c>
      <c r="G30" s="64">
        <v>46.5</v>
      </c>
      <c r="H30" s="64">
        <v>26.4</v>
      </c>
      <c r="I30" s="64">
        <v>20.100000000000001</v>
      </c>
      <c r="J30" s="64">
        <v>1.7</v>
      </c>
      <c r="K30" s="64">
        <v>21.9</v>
      </c>
      <c r="L30" s="64">
        <v>15736.7</v>
      </c>
      <c r="M30" s="64">
        <v>205.1</v>
      </c>
      <c r="N30" s="65">
        <v>1.32</v>
      </c>
    </row>
    <row r="31" spans="1:14">
      <c r="A31" s="6">
        <v>31199</v>
      </c>
      <c r="B31" s="64">
        <v>62</v>
      </c>
      <c r="C31" s="64">
        <v>28.5</v>
      </c>
      <c r="D31" s="64">
        <v>33.5</v>
      </c>
      <c r="E31" s="64">
        <v>74.5</v>
      </c>
      <c r="F31" s="64">
        <v>74.5</v>
      </c>
      <c r="G31" s="64">
        <v>36.5</v>
      </c>
      <c r="H31" s="64">
        <v>22.5</v>
      </c>
      <c r="I31" s="64">
        <v>13.9</v>
      </c>
      <c r="J31" s="64">
        <v>2.2999999999999998</v>
      </c>
      <c r="K31" s="64">
        <v>16.2</v>
      </c>
      <c r="L31" s="64">
        <v>15788.3</v>
      </c>
      <c r="M31" s="64">
        <v>208.9</v>
      </c>
      <c r="N31" s="65">
        <v>1.34</v>
      </c>
    </row>
    <row r="32" spans="1:14">
      <c r="A32" s="6">
        <v>31291</v>
      </c>
      <c r="B32" s="64">
        <v>60.8</v>
      </c>
      <c r="C32" s="64">
        <v>35.1</v>
      </c>
      <c r="D32" s="64">
        <v>25.8</v>
      </c>
      <c r="E32" s="64">
        <v>72.5</v>
      </c>
      <c r="F32" s="64">
        <v>72.5</v>
      </c>
      <c r="G32" s="64">
        <v>40.9</v>
      </c>
      <c r="H32" s="64">
        <v>21.4</v>
      </c>
      <c r="I32" s="64">
        <v>19.5</v>
      </c>
      <c r="J32" s="64">
        <v>4.0999999999999996</v>
      </c>
      <c r="K32" s="64">
        <v>23.6</v>
      </c>
      <c r="L32" s="64">
        <v>15839.7</v>
      </c>
      <c r="M32" s="64">
        <v>211.2</v>
      </c>
      <c r="N32" s="65">
        <v>1.35</v>
      </c>
    </row>
    <row r="33" spans="1:14">
      <c r="A33" s="6">
        <v>31382</v>
      </c>
      <c r="B33" s="64">
        <v>57.8</v>
      </c>
      <c r="C33" s="64">
        <v>26.7</v>
      </c>
      <c r="D33" s="64">
        <v>31.1</v>
      </c>
      <c r="E33" s="64">
        <v>67.599999999999994</v>
      </c>
      <c r="F33" s="64">
        <v>67.599999999999994</v>
      </c>
      <c r="G33" s="64">
        <v>48.7</v>
      </c>
      <c r="H33" s="64">
        <v>23.1</v>
      </c>
      <c r="I33" s="64">
        <v>25.6</v>
      </c>
      <c r="J33" s="64">
        <v>2.1</v>
      </c>
      <c r="K33" s="64">
        <v>27.7</v>
      </c>
      <c r="L33" s="64">
        <v>15900.6</v>
      </c>
      <c r="M33" s="64">
        <v>223.3</v>
      </c>
      <c r="N33" s="65">
        <v>1.42</v>
      </c>
    </row>
    <row r="34" spans="1:14">
      <c r="A34" s="6">
        <v>31472</v>
      </c>
      <c r="B34" s="64">
        <v>60</v>
      </c>
      <c r="C34" s="64">
        <v>26.8</v>
      </c>
      <c r="D34" s="64">
        <v>33.1</v>
      </c>
      <c r="E34" s="64">
        <v>76.3</v>
      </c>
      <c r="F34" s="64">
        <v>76.3</v>
      </c>
      <c r="G34" s="64">
        <v>53.6</v>
      </c>
      <c r="H34" s="64">
        <v>26.2</v>
      </c>
      <c r="I34" s="64">
        <v>27.5</v>
      </c>
      <c r="J34" s="64">
        <v>-1.7</v>
      </c>
      <c r="K34" s="64">
        <v>25.8</v>
      </c>
      <c r="L34" s="64">
        <v>15961.5</v>
      </c>
      <c r="M34" s="64">
        <v>224.8</v>
      </c>
      <c r="N34" s="65">
        <v>1.43</v>
      </c>
    </row>
    <row r="35" spans="1:14">
      <c r="A35" s="6">
        <v>31564</v>
      </c>
      <c r="B35" s="64">
        <v>60.5</v>
      </c>
      <c r="C35" s="64">
        <v>27.5</v>
      </c>
      <c r="D35" s="64">
        <v>33</v>
      </c>
      <c r="E35" s="64">
        <v>77.8</v>
      </c>
      <c r="F35" s="64">
        <v>77.8</v>
      </c>
      <c r="G35" s="64">
        <v>43.2</v>
      </c>
      <c r="H35" s="64">
        <v>21.8</v>
      </c>
      <c r="I35" s="64">
        <v>21.4</v>
      </c>
      <c r="J35" s="64">
        <v>2</v>
      </c>
      <c r="K35" s="64">
        <v>23.4</v>
      </c>
      <c r="L35" s="64">
        <v>16018.4</v>
      </c>
      <c r="M35" s="64">
        <v>230</v>
      </c>
      <c r="N35" s="65">
        <v>1.46</v>
      </c>
    </row>
    <row r="36" spans="1:14">
      <c r="A36" s="6">
        <v>31656</v>
      </c>
      <c r="B36" s="64">
        <v>60.8</v>
      </c>
      <c r="C36" s="64">
        <v>31.9</v>
      </c>
      <c r="D36" s="64">
        <v>28.8</v>
      </c>
      <c r="E36" s="64">
        <v>70.7</v>
      </c>
      <c r="F36" s="64">
        <v>70.7</v>
      </c>
      <c r="G36" s="64">
        <v>47.2</v>
      </c>
      <c r="H36" s="64">
        <v>21.2</v>
      </c>
      <c r="I36" s="64">
        <v>25.9</v>
      </c>
      <c r="J36" s="64">
        <v>3.7</v>
      </c>
      <c r="K36" s="64">
        <v>29.6</v>
      </c>
      <c r="L36" s="64">
        <v>16075</v>
      </c>
      <c r="M36" s="64">
        <v>235.3</v>
      </c>
      <c r="N36" s="65">
        <v>1.49</v>
      </c>
    </row>
    <row r="37" spans="1:14">
      <c r="A37" s="6">
        <v>31747</v>
      </c>
      <c r="B37" s="64">
        <v>62.2</v>
      </c>
      <c r="C37" s="64">
        <v>28.7</v>
      </c>
      <c r="D37" s="64">
        <v>33.5</v>
      </c>
      <c r="E37" s="64">
        <v>65.3</v>
      </c>
      <c r="F37" s="64">
        <v>65.3</v>
      </c>
      <c r="G37" s="64">
        <v>52.7</v>
      </c>
      <c r="H37" s="64">
        <v>23.2</v>
      </c>
      <c r="I37" s="64">
        <v>29.4</v>
      </c>
      <c r="J37" s="64">
        <v>2.5</v>
      </c>
      <c r="K37" s="64">
        <v>32</v>
      </c>
      <c r="L37" s="64">
        <v>16138.8</v>
      </c>
      <c r="M37" s="64">
        <v>238.2</v>
      </c>
      <c r="N37" s="65">
        <v>1.5</v>
      </c>
    </row>
    <row r="38" spans="1:14">
      <c r="A38" s="6">
        <v>31837</v>
      </c>
      <c r="B38" s="64">
        <v>59.1</v>
      </c>
      <c r="C38" s="64">
        <v>27.1</v>
      </c>
      <c r="D38" s="64">
        <v>31.9</v>
      </c>
      <c r="E38" s="64">
        <v>90.5</v>
      </c>
      <c r="F38" s="64">
        <v>90.5</v>
      </c>
      <c r="G38" s="64">
        <v>57.1</v>
      </c>
      <c r="H38" s="64">
        <v>28.2</v>
      </c>
      <c r="I38" s="64">
        <v>28.9</v>
      </c>
      <c r="J38" s="64">
        <v>6.1</v>
      </c>
      <c r="K38" s="64">
        <v>35.1</v>
      </c>
      <c r="L38" s="64">
        <v>16204</v>
      </c>
      <c r="M38" s="64">
        <v>242.5</v>
      </c>
      <c r="N38" s="65">
        <v>1.52</v>
      </c>
    </row>
    <row r="39" spans="1:14">
      <c r="A39" s="6">
        <v>31929</v>
      </c>
      <c r="B39" s="64">
        <v>60.8</v>
      </c>
      <c r="C39" s="64">
        <v>28.4</v>
      </c>
      <c r="D39" s="64">
        <v>32.4</v>
      </c>
      <c r="E39" s="64">
        <v>73.900000000000006</v>
      </c>
      <c r="F39" s="64">
        <v>73.900000000000006</v>
      </c>
      <c r="G39" s="64">
        <v>47.5</v>
      </c>
      <c r="H39" s="64">
        <v>22.6</v>
      </c>
      <c r="I39" s="64">
        <v>24.9</v>
      </c>
      <c r="J39" s="64">
        <v>4.3</v>
      </c>
      <c r="K39" s="64">
        <v>29.1</v>
      </c>
      <c r="L39" s="64">
        <v>16263.9</v>
      </c>
      <c r="M39" s="64">
        <v>245.5</v>
      </c>
      <c r="N39" s="65">
        <v>1.53</v>
      </c>
    </row>
    <row r="40" spans="1:14">
      <c r="A40" s="6">
        <v>32021</v>
      </c>
      <c r="B40" s="64">
        <v>61.5</v>
      </c>
      <c r="C40" s="64">
        <v>32.299999999999997</v>
      </c>
      <c r="D40" s="64">
        <v>29.3</v>
      </c>
      <c r="E40" s="64">
        <v>76.099999999999994</v>
      </c>
      <c r="F40" s="64">
        <v>76.099999999999994</v>
      </c>
      <c r="G40" s="64">
        <v>54.2</v>
      </c>
      <c r="H40" s="64">
        <v>22.9</v>
      </c>
      <c r="I40" s="64">
        <v>31.3</v>
      </c>
      <c r="J40" s="64">
        <v>6.2</v>
      </c>
      <c r="K40" s="64">
        <v>37.4</v>
      </c>
      <c r="L40" s="64">
        <v>16328.9</v>
      </c>
      <c r="M40" s="64">
        <v>253.8</v>
      </c>
      <c r="N40" s="65">
        <v>1.58</v>
      </c>
    </row>
    <row r="41" spans="1:14">
      <c r="A41" s="6">
        <v>32112</v>
      </c>
      <c r="B41" s="64">
        <v>62.6</v>
      </c>
      <c r="C41" s="64">
        <v>29.6</v>
      </c>
      <c r="D41" s="64">
        <v>33</v>
      </c>
      <c r="E41" s="64">
        <v>72.900000000000006</v>
      </c>
      <c r="F41" s="64">
        <v>72.900000000000006</v>
      </c>
      <c r="G41" s="64">
        <v>62.8</v>
      </c>
      <c r="H41" s="64">
        <v>24</v>
      </c>
      <c r="I41" s="64">
        <v>38.799999999999997</v>
      </c>
      <c r="J41" s="64">
        <v>-4.3</v>
      </c>
      <c r="K41" s="64">
        <v>34.5</v>
      </c>
      <c r="L41" s="64">
        <v>16394.599999999999</v>
      </c>
      <c r="M41" s="64">
        <v>255.9</v>
      </c>
      <c r="N41" s="65">
        <v>1.59</v>
      </c>
    </row>
    <row r="42" spans="1:14">
      <c r="A42" s="6">
        <v>32203</v>
      </c>
      <c r="B42" s="64">
        <v>61.5</v>
      </c>
      <c r="C42" s="64">
        <v>29.9</v>
      </c>
      <c r="D42" s="64">
        <v>31.6</v>
      </c>
      <c r="E42" s="64">
        <v>101.6</v>
      </c>
      <c r="F42" s="64">
        <v>101.6</v>
      </c>
      <c r="G42" s="64">
        <v>69.8</v>
      </c>
      <c r="H42" s="64">
        <v>28</v>
      </c>
      <c r="I42" s="64">
        <v>41.8</v>
      </c>
      <c r="J42" s="64">
        <v>5.5</v>
      </c>
      <c r="K42" s="64">
        <v>47.3</v>
      </c>
      <c r="L42" s="64">
        <v>16471.8</v>
      </c>
      <c r="M42" s="64">
        <v>267.7</v>
      </c>
      <c r="N42" s="65">
        <v>1.65</v>
      </c>
    </row>
    <row r="43" spans="1:14">
      <c r="A43" s="6">
        <v>32295</v>
      </c>
      <c r="B43" s="64">
        <v>60.6</v>
      </c>
      <c r="C43" s="64">
        <v>28.7</v>
      </c>
      <c r="D43" s="64">
        <v>31.9</v>
      </c>
      <c r="E43" s="64">
        <v>83.9</v>
      </c>
      <c r="F43" s="64">
        <v>83.9</v>
      </c>
      <c r="G43" s="64">
        <v>55.4</v>
      </c>
      <c r="H43" s="64">
        <v>24.1</v>
      </c>
      <c r="I43" s="64">
        <v>31.4</v>
      </c>
      <c r="J43" s="64">
        <v>-1.2</v>
      </c>
      <c r="K43" s="64">
        <v>30.2</v>
      </c>
      <c r="L43" s="64">
        <v>16532.2</v>
      </c>
      <c r="M43" s="64">
        <v>268.3</v>
      </c>
      <c r="N43" s="65">
        <v>1.65</v>
      </c>
    </row>
    <row r="44" spans="1:14">
      <c r="A44" s="6">
        <v>32387</v>
      </c>
      <c r="B44" s="64">
        <v>62.2</v>
      </c>
      <c r="C44" s="64">
        <v>33.6</v>
      </c>
      <c r="D44" s="64">
        <v>28.5</v>
      </c>
      <c r="E44" s="64">
        <v>83.9</v>
      </c>
      <c r="F44" s="64">
        <v>83.9</v>
      </c>
      <c r="G44" s="64">
        <v>62.5</v>
      </c>
      <c r="H44" s="64">
        <v>24.8</v>
      </c>
      <c r="I44" s="64">
        <v>37.700000000000003</v>
      </c>
      <c r="J44" s="64">
        <v>15.9</v>
      </c>
      <c r="K44" s="64">
        <v>53.6</v>
      </c>
      <c r="L44" s="64">
        <v>16612.599999999999</v>
      </c>
      <c r="M44" s="64">
        <v>283.8</v>
      </c>
      <c r="N44" s="65">
        <v>1.74</v>
      </c>
    </row>
    <row r="45" spans="1:14">
      <c r="A45" s="6">
        <v>32478</v>
      </c>
      <c r="B45" s="64">
        <v>62</v>
      </c>
      <c r="C45" s="64">
        <v>27.6</v>
      </c>
      <c r="D45" s="64">
        <v>34.299999999999997</v>
      </c>
      <c r="E45" s="64">
        <v>77.099999999999994</v>
      </c>
      <c r="F45" s="64">
        <v>77.099999999999994</v>
      </c>
      <c r="G45" s="64">
        <v>66.099999999999994</v>
      </c>
      <c r="H45" s="64">
        <v>27.9</v>
      </c>
      <c r="I45" s="64">
        <v>38.299999999999997</v>
      </c>
      <c r="J45" s="64">
        <v>3.5</v>
      </c>
      <c r="K45" s="64">
        <v>41.8</v>
      </c>
      <c r="L45" s="64">
        <v>16687.099999999999</v>
      </c>
      <c r="M45" s="64">
        <v>292.39999999999998</v>
      </c>
      <c r="N45" s="65">
        <v>1.78</v>
      </c>
    </row>
    <row r="46" spans="1:14">
      <c r="A46" s="6">
        <v>32568</v>
      </c>
      <c r="B46" s="64">
        <v>63.4</v>
      </c>
      <c r="C46" s="64">
        <v>27.8</v>
      </c>
      <c r="D46" s="64">
        <v>35.6</v>
      </c>
      <c r="E46" s="64">
        <v>109.9</v>
      </c>
      <c r="F46" s="64">
        <v>109.9</v>
      </c>
      <c r="G46" s="64">
        <v>67.900000000000006</v>
      </c>
      <c r="H46" s="64">
        <v>32.6</v>
      </c>
      <c r="I46" s="64">
        <v>35.299999999999997</v>
      </c>
      <c r="J46" s="64">
        <v>7.7</v>
      </c>
      <c r="K46" s="64">
        <v>43</v>
      </c>
      <c r="L46" s="64">
        <v>16764</v>
      </c>
      <c r="M46" s="64">
        <v>292.3</v>
      </c>
      <c r="N46" s="65">
        <v>1.77</v>
      </c>
    </row>
    <row r="47" spans="1:14">
      <c r="A47" s="6">
        <v>32660</v>
      </c>
      <c r="B47" s="64">
        <v>62.7</v>
      </c>
      <c r="C47" s="64">
        <v>29.8</v>
      </c>
      <c r="D47" s="64">
        <v>32.9</v>
      </c>
      <c r="E47" s="64">
        <v>94.9</v>
      </c>
      <c r="F47" s="64">
        <v>94.9</v>
      </c>
      <c r="G47" s="64">
        <v>53.4</v>
      </c>
      <c r="H47" s="64">
        <v>27.3</v>
      </c>
      <c r="I47" s="64">
        <v>26</v>
      </c>
      <c r="J47" s="64">
        <v>-6.9</v>
      </c>
      <c r="K47" s="64">
        <v>19.100000000000001</v>
      </c>
      <c r="L47" s="64">
        <v>16814.400000000001</v>
      </c>
      <c r="M47" s="64">
        <v>282.3</v>
      </c>
      <c r="N47" s="65">
        <v>1.71</v>
      </c>
    </row>
    <row r="48" spans="1:14">
      <c r="A48" s="6">
        <v>32752</v>
      </c>
      <c r="B48" s="64">
        <v>61.9</v>
      </c>
      <c r="C48" s="64">
        <v>36.9</v>
      </c>
      <c r="D48" s="64">
        <v>25</v>
      </c>
      <c r="E48" s="64">
        <v>85.6</v>
      </c>
      <c r="F48" s="64">
        <v>85.6</v>
      </c>
      <c r="G48" s="64">
        <v>57.5</v>
      </c>
      <c r="H48" s="64">
        <v>28.2</v>
      </c>
      <c r="I48" s="64">
        <v>29.3</v>
      </c>
      <c r="J48" s="64">
        <v>4.9000000000000004</v>
      </c>
      <c r="K48" s="64">
        <v>34.200000000000003</v>
      </c>
      <c r="L48" s="64">
        <v>16872</v>
      </c>
      <c r="M48" s="64">
        <v>259.39999999999998</v>
      </c>
      <c r="N48" s="65">
        <v>1.56</v>
      </c>
    </row>
    <row r="49" spans="1:14">
      <c r="A49" s="6">
        <v>32843</v>
      </c>
      <c r="B49" s="64">
        <v>62.9</v>
      </c>
      <c r="C49" s="64">
        <v>29.8</v>
      </c>
      <c r="D49" s="64">
        <v>33.1</v>
      </c>
      <c r="E49" s="64">
        <v>72.599999999999994</v>
      </c>
      <c r="F49" s="64">
        <v>72.599999999999994</v>
      </c>
      <c r="G49" s="64">
        <v>59.3</v>
      </c>
      <c r="H49" s="64">
        <v>31.9</v>
      </c>
      <c r="I49" s="64">
        <v>27.4</v>
      </c>
      <c r="J49" s="64">
        <v>5.8</v>
      </c>
      <c r="K49" s="64">
        <v>33.200000000000003</v>
      </c>
      <c r="L49" s="64">
        <v>16936.7</v>
      </c>
      <c r="M49" s="64">
        <v>249.6</v>
      </c>
      <c r="N49" s="65">
        <v>1.5</v>
      </c>
    </row>
    <row r="50" spans="1:14">
      <c r="A50" s="6">
        <v>32933</v>
      </c>
      <c r="B50" s="64">
        <v>65</v>
      </c>
      <c r="C50" s="64">
        <v>29.2</v>
      </c>
      <c r="D50" s="64">
        <v>35.799999999999997</v>
      </c>
      <c r="E50" s="64">
        <v>105.2</v>
      </c>
      <c r="F50" s="64">
        <v>105.2</v>
      </c>
      <c r="G50" s="64">
        <v>64.3</v>
      </c>
      <c r="H50" s="64">
        <v>35.9</v>
      </c>
      <c r="I50" s="64">
        <v>28.4</v>
      </c>
      <c r="J50" s="64">
        <v>6.3</v>
      </c>
      <c r="K50" s="64">
        <v>34.700000000000003</v>
      </c>
      <c r="L50" s="64">
        <v>17005.599999999999</v>
      </c>
      <c r="M50" s="64">
        <v>241.6</v>
      </c>
      <c r="N50" s="65">
        <v>1.44</v>
      </c>
    </row>
    <row r="51" spans="1:14">
      <c r="A51" s="6">
        <v>33025</v>
      </c>
      <c r="B51" s="64">
        <v>67.7</v>
      </c>
      <c r="C51" s="64">
        <v>29.2</v>
      </c>
      <c r="D51" s="64">
        <v>38.5</v>
      </c>
      <c r="E51" s="64">
        <v>84.3</v>
      </c>
      <c r="F51" s="64">
        <v>84.3</v>
      </c>
      <c r="G51" s="64">
        <v>50.8</v>
      </c>
      <c r="H51" s="64">
        <v>32.1</v>
      </c>
      <c r="I51" s="64">
        <v>18.8</v>
      </c>
      <c r="J51" s="64">
        <v>3.8</v>
      </c>
      <c r="K51" s="64">
        <v>22.6</v>
      </c>
      <c r="L51" s="64">
        <v>17065.099999999999</v>
      </c>
      <c r="M51" s="64">
        <v>250.7</v>
      </c>
      <c r="N51" s="65">
        <v>1.49</v>
      </c>
    </row>
    <row r="52" spans="1:14">
      <c r="A52" s="6">
        <v>33117</v>
      </c>
      <c r="B52" s="64">
        <v>65.8</v>
      </c>
      <c r="C52" s="64">
        <v>33</v>
      </c>
      <c r="D52" s="64">
        <v>32.9</v>
      </c>
      <c r="E52" s="64">
        <v>78.099999999999994</v>
      </c>
      <c r="F52" s="64">
        <v>78.099999999999994</v>
      </c>
      <c r="G52" s="64">
        <v>58.7</v>
      </c>
      <c r="H52" s="64">
        <v>32.6</v>
      </c>
      <c r="I52" s="64">
        <v>26.1</v>
      </c>
      <c r="J52" s="64">
        <v>-1.2</v>
      </c>
      <c r="K52" s="64">
        <v>24.9</v>
      </c>
      <c r="L52" s="64">
        <v>17121.099999999999</v>
      </c>
      <c r="M52" s="64">
        <v>249.1</v>
      </c>
      <c r="N52" s="65">
        <v>1.48</v>
      </c>
    </row>
    <row r="53" spans="1:14">
      <c r="A53" s="6">
        <v>33208</v>
      </c>
      <c r="B53" s="64">
        <v>64.099999999999994</v>
      </c>
      <c r="C53" s="64">
        <v>28.7</v>
      </c>
      <c r="D53" s="64">
        <v>35.4</v>
      </c>
      <c r="E53" s="64">
        <v>72.8</v>
      </c>
      <c r="F53" s="64">
        <v>72.8</v>
      </c>
      <c r="G53" s="64">
        <v>60.2</v>
      </c>
      <c r="H53" s="64">
        <v>36.9</v>
      </c>
      <c r="I53" s="64">
        <v>23.3</v>
      </c>
      <c r="J53" s="64">
        <v>-8.3000000000000007</v>
      </c>
      <c r="K53" s="64">
        <v>15</v>
      </c>
      <c r="L53" s="64">
        <v>17169.8</v>
      </c>
      <c r="M53" s="64">
        <v>233</v>
      </c>
      <c r="N53" s="65">
        <v>1.38</v>
      </c>
    </row>
    <row r="54" spans="1:14">
      <c r="A54" s="6">
        <v>33298</v>
      </c>
      <c r="B54" s="64">
        <v>64.900000000000006</v>
      </c>
      <c r="C54" s="64">
        <v>28.6</v>
      </c>
      <c r="D54" s="64">
        <v>36.299999999999997</v>
      </c>
      <c r="E54" s="64">
        <v>100.1</v>
      </c>
      <c r="F54" s="64">
        <v>100.1</v>
      </c>
      <c r="G54" s="64">
        <v>68.5</v>
      </c>
      <c r="H54" s="64">
        <v>39.9</v>
      </c>
      <c r="I54" s="64">
        <v>28.5</v>
      </c>
      <c r="J54" s="64">
        <v>4.5999999999999996</v>
      </c>
      <c r="K54" s="64">
        <v>33.1</v>
      </c>
      <c r="L54" s="64">
        <v>17237.400000000001</v>
      </c>
      <c r="M54" s="64">
        <v>231.8</v>
      </c>
      <c r="N54" s="65">
        <v>1.36</v>
      </c>
    </row>
    <row r="55" spans="1:14">
      <c r="A55" s="6">
        <v>33390</v>
      </c>
      <c r="B55" s="64">
        <v>66.3</v>
      </c>
      <c r="C55" s="64">
        <v>29.3</v>
      </c>
      <c r="D55" s="64">
        <v>37</v>
      </c>
      <c r="E55" s="64">
        <v>79.7</v>
      </c>
      <c r="F55" s="64">
        <v>79.7</v>
      </c>
      <c r="G55" s="64">
        <v>49</v>
      </c>
      <c r="H55" s="64">
        <v>32.200000000000003</v>
      </c>
      <c r="I55" s="64">
        <v>16.8</v>
      </c>
      <c r="J55" s="64">
        <v>-3.3</v>
      </c>
      <c r="K55" s="64">
        <v>13.5</v>
      </c>
      <c r="L55" s="64">
        <v>17284</v>
      </c>
      <c r="M55" s="64">
        <v>218.9</v>
      </c>
      <c r="N55" s="65">
        <v>1.28</v>
      </c>
    </row>
    <row r="56" spans="1:14">
      <c r="A56" s="6">
        <v>33482</v>
      </c>
      <c r="B56" s="64">
        <v>65.3</v>
      </c>
      <c r="C56" s="64">
        <v>33</v>
      </c>
      <c r="D56" s="64">
        <v>32.200000000000003</v>
      </c>
      <c r="E56" s="64">
        <v>73.8</v>
      </c>
      <c r="F56" s="64">
        <v>73.8</v>
      </c>
      <c r="G56" s="64">
        <v>60.1</v>
      </c>
      <c r="H56" s="64">
        <v>33.5</v>
      </c>
      <c r="I56" s="64">
        <v>26.6</v>
      </c>
      <c r="J56" s="64">
        <v>-0.8</v>
      </c>
      <c r="K56" s="64">
        <v>25.8</v>
      </c>
      <c r="L56" s="64">
        <v>17338.900000000001</v>
      </c>
      <c r="M56" s="64">
        <v>217.7</v>
      </c>
      <c r="N56" s="65">
        <v>1.27</v>
      </c>
    </row>
    <row r="57" spans="1:14">
      <c r="A57" s="6">
        <v>33573</v>
      </c>
      <c r="B57" s="64">
        <v>62.8</v>
      </c>
      <c r="C57" s="64">
        <v>28.8</v>
      </c>
      <c r="D57" s="64">
        <v>34</v>
      </c>
      <c r="E57" s="64">
        <v>73.5</v>
      </c>
      <c r="F57" s="64">
        <v>73.5</v>
      </c>
      <c r="G57" s="64">
        <v>59.6</v>
      </c>
      <c r="H57" s="64">
        <v>38.1</v>
      </c>
      <c r="I57" s="64">
        <v>21.6</v>
      </c>
      <c r="J57" s="64">
        <v>-12.3</v>
      </c>
      <c r="K57" s="64">
        <v>9.3000000000000007</v>
      </c>
      <c r="L57" s="64">
        <v>17379</v>
      </c>
      <c r="M57" s="64">
        <v>209.2</v>
      </c>
      <c r="N57" s="65">
        <v>1.22</v>
      </c>
    </row>
    <row r="58" spans="1:14">
      <c r="A58" s="6">
        <v>33664</v>
      </c>
      <c r="B58" s="64">
        <v>65.7</v>
      </c>
      <c r="C58" s="64">
        <v>27.3</v>
      </c>
      <c r="D58" s="64">
        <v>38.4</v>
      </c>
      <c r="E58" s="64">
        <v>105.2</v>
      </c>
      <c r="F58" s="64">
        <v>105.2</v>
      </c>
      <c r="G58" s="64">
        <v>68.3</v>
      </c>
      <c r="H58" s="64">
        <v>40.200000000000003</v>
      </c>
      <c r="I58" s="64">
        <v>28.1</v>
      </c>
      <c r="J58" s="64">
        <v>-1</v>
      </c>
      <c r="K58" s="64">
        <v>27.1</v>
      </c>
      <c r="L58" s="64">
        <v>17441.3</v>
      </c>
      <c r="M58" s="64">
        <v>203.9</v>
      </c>
      <c r="N58" s="65">
        <v>1.18</v>
      </c>
    </row>
    <row r="59" spans="1:14">
      <c r="A59" s="6">
        <v>33756</v>
      </c>
      <c r="B59" s="64">
        <v>65.8</v>
      </c>
      <c r="C59" s="64">
        <v>31.7</v>
      </c>
      <c r="D59" s="64">
        <v>34.1</v>
      </c>
      <c r="E59" s="64">
        <v>80.099999999999994</v>
      </c>
      <c r="F59" s="64">
        <v>80.099999999999994</v>
      </c>
      <c r="G59" s="64">
        <v>46.1</v>
      </c>
      <c r="H59" s="64">
        <v>32.5</v>
      </c>
      <c r="I59" s="64">
        <v>13.6</v>
      </c>
      <c r="J59" s="64">
        <v>-7.2</v>
      </c>
      <c r="K59" s="64">
        <v>6.4</v>
      </c>
      <c r="L59" s="64">
        <v>17478.599999999999</v>
      </c>
      <c r="M59" s="64">
        <v>194.6</v>
      </c>
      <c r="N59" s="65">
        <v>1.1299999999999999</v>
      </c>
    </row>
    <row r="60" spans="1:14">
      <c r="A60" s="6">
        <v>33848</v>
      </c>
      <c r="B60" s="64">
        <v>67.2</v>
      </c>
      <c r="C60" s="64">
        <v>34.4</v>
      </c>
      <c r="D60" s="64">
        <v>32.799999999999997</v>
      </c>
      <c r="E60" s="64">
        <v>94.3</v>
      </c>
      <c r="F60" s="64">
        <v>94.3</v>
      </c>
      <c r="G60" s="64">
        <v>52.4</v>
      </c>
      <c r="H60" s="64">
        <v>33.200000000000003</v>
      </c>
      <c r="I60" s="64">
        <v>19.100000000000001</v>
      </c>
      <c r="J60" s="64">
        <v>-4</v>
      </c>
      <c r="K60" s="64">
        <v>15.1</v>
      </c>
      <c r="L60" s="64">
        <v>17523.3</v>
      </c>
      <c r="M60" s="64">
        <v>184.4</v>
      </c>
      <c r="N60" s="65">
        <v>1.06</v>
      </c>
    </row>
    <row r="61" spans="1:14">
      <c r="A61" s="6">
        <v>33939</v>
      </c>
      <c r="B61" s="64">
        <v>63.9</v>
      </c>
      <c r="C61" s="64">
        <v>29.6</v>
      </c>
      <c r="D61" s="64">
        <v>34.299999999999997</v>
      </c>
      <c r="E61" s="64">
        <v>86.3</v>
      </c>
      <c r="F61" s="64">
        <v>86.3</v>
      </c>
      <c r="G61" s="64">
        <v>53.7</v>
      </c>
      <c r="H61" s="64">
        <v>37.700000000000003</v>
      </c>
      <c r="I61" s="64">
        <v>16</v>
      </c>
      <c r="J61" s="64">
        <v>-13.2</v>
      </c>
      <c r="K61" s="64">
        <v>2.8</v>
      </c>
      <c r="L61" s="64">
        <v>17557.099999999999</v>
      </c>
      <c r="M61" s="64">
        <v>178.2</v>
      </c>
      <c r="N61" s="65">
        <v>1.03</v>
      </c>
    </row>
    <row r="62" spans="1:14">
      <c r="A62" s="6">
        <v>34029</v>
      </c>
      <c r="B62" s="64">
        <v>64.3</v>
      </c>
      <c r="C62" s="64">
        <v>27.1</v>
      </c>
      <c r="D62" s="64">
        <v>37.200000000000003</v>
      </c>
      <c r="E62" s="64">
        <v>111.6</v>
      </c>
      <c r="F62" s="64">
        <v>111.6</v>
      </c>
      <c r="G62" s="64">
        <v>59.3</v>
      </c>
      <c r="H62" s="64">
        <v>38.799999999999997</v>
      </c>
      <c r="I62" s="64">
        <v>20.5</v>
      </c>
      <c r="J62" s="64">
        <v>-2</v>
      </c>
      <c r="K62" s="64">
        <v>18.5</v>
      </c>
      <c r="L62" s="64">
        <v>17609.599999999999</v>
      </c>
      <c r="M62" s="64">
        <v>168.3</v>
      </c>
      <c r="N62" s="65">
        <v>0.96</v>
      </c>
    </row>
    <row r="63" spans="1:14">
      <c r="A63" s="6">
        <v>34121</v>
      </c>
      <c r="B63" s="64">
        <v>65.099999999999994</v>
      </c>
      <c r="C63" s="64">
        <v>30.3</v>
      </c>
      <c r="D63" s="64">
        <v>34.9</v>
      </c>
      <c r="E63" s="64">
        <v>79</v>
      </c>
      <c r="F63" s="64">
        <v>79</v>
      </c>
      <c r="G63" s="64">
        <v>38.4</v>
      </c>
      <c r="H63" s="64">
        <v>31.4</v>
      </c>
      <c r="I63" s="64">
        <v>7.1</v>
      </c>
      <c r="J63" s="64">
        <v>-13.4</v>
      </c>
      <c r="K63" s="64">
        <v>-6.3</v>
      </c>
      <c r="L63" s="64">
        <v>17634.8</v>
      </c>
      <c r="M63" s="64">
        <v>156.19999999999999</v>
      </c>
      <c r="N63" s="65">
        <v>0.89</v>
      </c>
    </row>
    <row r="64" spans="1:14">
      <c r="A64" s="6">
        <v>34213</v>
      </c>
      <c r="B64" s="64">
        <v>66</v>
      </c>
      <c r="C64" s="64">
        <v>33.5</v>
      </c>
      <c r="D64" s="64">
        <v>32.5</v>
      </c>
      <c r="E64" s="64">
        <v>78.599999999999994</v>
      </c>
      <c r="F64" s="64">
        <v>78.599999999999994</v>
      </c>
      <c r="G64" s="64">
        <v>49.3</v>
      </c>
      <c r="H64" s="64">
        <v>33</v>
      </c>
      <c r="I64" s="64">
        <v>16.3</v>
      </c>
      <c r="J64" s="64">
        <v>1.5</v>
      </c>
      <c r="K64" s="64">
        <v>17.8</v>
      </c>
      <c r="L64" s="64">
        <v>17683.7</v>
      </c>
      <c r="M64" s="64">
        <v>160.4</v>
      </c>
      <c r="N64" s="65">
        <v>0.92</v>
      </c>
    </row>
    <row r="65" spans="1:14">
      <c r="A65" s="6">
        <v>34304</v>
      </c>
      <c r="B65" s="64">
        <v>63.7</v>
      </c>
      <c r="C65" s="64">
        <v>29.9</v>
      </c>
      <c r="D65" s="64">
        <v>33.799999999999997</v>
      </c>
      <c r="E65" s="64">
        <v>70.400000000000006</v>
      </c>
      <c r="F65" s="64">
        <v>70.400000000000006</v>
      </c>
      <c r="G65" s="64">
        <v>50.9</v>
      </c>
      <c r="H65" s="64">
        <v>37.299999999999997</v>
      </c>
      <c r="I65" s="64">
        <v>13.6</v>
      </c>
      <c r="J65" s="64">
        <v>-8.6999999999999993</v>
      </c>
      <c r="K65" s="64">
        <v>4.9000000000000004</v>
      </c>
      <c r="L65" s="64">
        <v>17719.099999999999</v>
      </c>
      <c r="M65" s="64">
        <v>162</v>
      </c>
      <c r="N65" s="65">
        <v>0.92</v>
      </c>
    </row>
    <row r="66" spans="1:14">
      <c r="A66" s="6">
        <v>34394</v>
      </c>
      <c r="B66" s="64">
        <v>65.3</v>
      </c>
      <c r="C66" s="64">
        <v>28.5</v>
      </c>
      <c r="D66" s="64">
        <v>36.700000000000003</v>
      </c>
      <c r="E66" s="64">
        <v>100.4</v>
      </c>
      <c r="F66" s="64">
        <v>100.4</v>
      </c>
      <c r="G66" s="64">
        <v>63.5</v>
      </c>
      <c r="H66" s="64">
        <v>37.799999999999997</v>
      </c>
      <c r="I66" s="64">
        <v>25.7</v>
      </c>
      <c r="J66" s="64">
        <v>-6.2</v>
      </c>
      <c r="K66" s="64">
        <v>19.5</v>
      </c>
      <c r="L66" s="64">
        <v>17772.099999999999</v>
      </c>
      <c r="M66" s="64">
        <v>162.5</v>
      </c>
      <c r="N66" s="65">
        <v>0.92</v>
      </c>
    </row>
    <row r="67" spans="1:14">
      <c r="A67" s="6">
        <v>34486</v>
      </c>
      <c r="B67" s="64">
        <v>63.9</v>
      </c>
      <c r="C67" s="64">
        <v>31.6</v>
      </c>
      <c r="D67" s="64">
        <v>32.299999999999997</v>
      </c>
      <c r="E67" s="64">
        <v>80.099999999999994</v>
      </c>
      <c r="F67" s="64">
        <v>80.099999999999994</v>
      </c>
      <c r="G67" s="64">
        <v>43.7</v>
      </c>
      <c r="H67" s="64">
        <v>32</v>
      </c>
      <c r="I67" s="64">
        <v>11.7</v>
      </c>
      <c r="J67" s="64">
        <v>-7.4</v>
      </c>
      <c r="K67" s="64">
        <v>4.4000000000000004</v>
      </c>
      <c r="L67" s="64">
        <v>17805.5</v>
      </c>
      <c r="M67" s="64">
        <v>170.7</v>
      </c>
      <c r="N67" s="65">
        <v>0.97</v>
      </c>
    </row>
    <row r="68" spans="1:14">
      <c r="A68" s="6">
        <v>34578</v>
      </c>
      <c r="B68" s="64">
        <v>66</v>
      </c>
      <c r="C68" s="64">
        <v>36.700000000000003</v>
      </c>
      <c r="D68" s="64">
        <v>29.3</v>
      </c>
      <c r="E68" s="64">
        <v>82.3</v>
      </c>
      <c r="F68" s="64">
        <v>82.3</v>
      </c>
      <c r="G68" s="64">
        <v>56.6</v>
      </c>
      <c r="H68" s="64">
        <v>33.1</v>
      </c>
      <c r="I68" s="64">
        <v>23.5</v>
      </c>
      <c r="J68" s="64">
        <v>4.3</v>
      </c>
      <c r="K68" s="64">
        <v>27.8</v>
      </c>
      <c r="L68" s="64">
        <v>17859.3</v>
      </c>
      <c r="M68" s="64">
        <v>175.5</v>
      </c>
      <c r="N68" s="65">
        <v>0.99</v>
      </c>
    </row>
    <row r="69" spans="1:14">
      <c r="A69" s="6">
        <v>34669</v>
      </c>
      <c r="B69" s="64">
        <v>63.8</v>
      </c>
      <c r="C69" s="64">
        <v>30.2</v>
      </c>
      <c r="D69" s="64">
        <v>33.6</v>
      </c>
      <c r="E69" s="64">
        <v>73.599999999999994</v>
      </c>
      <c r="F69" s="64">
        <v>73.599999999999994</v>
      </c>
      <c r="G69" s="64">
        <v>58.2</v>
      </c>
      <c r="H69" s="64">
        <v>38.9</v>
      </c>
      <c r="I69" s="64">
        <v>19.3</v>
      </c>
      <c r="J69" s="64">
        <v>-15.4</v>
      </c>
      <c r="K69" s="64">
        <v>3.9</v>
      </c>
      <c r="L69" s="64">
        <v>17893.400000000001</v>
      </c>
      <c r="M69" s="64">
        <v>174.3</v>
      </c>
      <c r="N69" s="65">
        <v>0.98</v>
      </c>
    </row>
    <row r="70" spans="1:14">
      <c r="A70" s="6">
        <v>34759</v>
      </c>
      <c r="B70" s="64">
        <v>64.5</v>
      </c>
      <c r="C70" s="64">
        <v>27.8</v>
      </c>
      <c r="D70" s="64">
        <v>36.700000000000003</v>
      </c>
      <c r="E70" s="64">
        <v>107.1</v>
      </c>
      <c r="F70" s="64">
        <v>107.1</v>
      </c>
      <c r="G70" s="64">
        <v>73.3</v>
      </c>
      <c r="H70" s="64">
        <v>40.799999999999997</v>
      </c>
      <c r="I70" s="64">
        <v>32.5</v>
      </c>
      <c r="J70" s="64">
        <v>-7.8</v>
      </c>
      <c r="K70" s="64">
        <v>24.7</v>
      </c>
      <c r="L70" s="64">
        <v>17951.599999999999</v>
      </c>
      <c r="M70" s="64">
        <v>179.5</v>
      </c>
      <c r="N70" s="65">
        <v>1.01</v>
      </c>
    </row>
    <row r="71" spans="1:14">
      <c r="A71" s="6">
        <v>34851</v>
      </c>
      <c r="B71" s="64">
        <v>64.3</v>
      </c>
      <c r="C71" s="64">
        <v>31.5</v>
      </c>
      <c r="D71" s="64">
        <v>32.799999999999997</v>
      </c>
      <c r="E71" s="64">
        <v>96</v>
      </c>
      <c r="F71" s="64">
        <v>96</v>
      </c>
      <c r="G71" s="64">
        <v>50.5</v>
      </c>
      <c r="H71" s="64">
        <v>32.700000000000003</v>
      </c>
      <c r="I71" s="64">
        <v>17.7</v>
      </c>
      <c r="J71" s="64">
        <v>6.1</v>
      </c>
      <c r="K71" s="64">
        <v>23.8</v>
      </c>
      <c r="L71" s="64">
        <v>18004.900000000001</v>
      </c>
      <c r="M71" s="64">
        <v>199.4</v>
      </c>
      <c r="N71" s="65">
        <v>1.1200000000000001</v>
      </c>
    </row>
    <row r="72" spans="1:14">
      <c r="A72" s="6">
        <v>34943</v>
      </c>
      <c r="B72" s="64">
        <v>65.3</v>
      </c>
      <c r="C72" s="64">
        <v>35</v>
      </c>
      <c r="D72" s="64">
        <v>30.3</v>
      </c>
      <c r="E72" s="64">
        <v>77.8</v>
      </c>
      <c r="F72" s="64">
        <v>77.8</v>
      </c>
      <c r="G72" s="64">
        <v>64</v>
      </c>
      <c r="H72" s="64">
        <v>35</v>
      </c>
      <c r="I72" s="64">
        <v>28.9</v>
      </c>
      <c r="J72" s="64">
        <v>0.2</v>
      </c>
      <c r="K72" s="64">
        <v>29.1</v>
      </c>
      <c r="L72" s="64">
        <v>18062.2</v>
      </c>
      <c r="M72" s="64">
        <v>202.9</v>
      </c>
      <c r="N72" s="65">
        <v>1.1399999999999999</v>
      </c>
    </row>
    <row r="73" spans="1:14">
      <c r="A73" s="6">
        <v>35034</v>
      </c>
      <c r="B73" s="64">
        <v>61.2</v>
      </c>
      <c r="C73" s="64">
        <v>30.8</v>
      </c>
      <c r="D73" s="64">
        <v>30.4</v>
      </c>
      <c r="E73" s="64">
        <v>80.099999999999994</v>
      </c>
      <c r="F73" s="64">
        <v>80.099999999999994</v>
      </c>
      <c r="G73" s="64">
        <v>66.2</v>
      </c>
      <c r="H73" s="64">
        <v>40.799999999999997</v>
      </c>
      <c r="I73" s="64">
        <v>25.4</v>
      </c>
      <c r="J73" s="64">
        <v>3.8</v>
      </c>
      <c r="K73" s="64">
        <v>29.2</v>
      </c>
      <c r="L73" s="64">
        <v>18119.599999999999</v>
      </c>
      <c r="M73" s="64">
        <v>226.2</v>
      </c>
      <c r="N73" s="65">
        <v>1.26</v>
      </c>
    </row>
    <row r="74" spans="1:14">
      <c r="A74" s="6">
        <v>35125</v>
      </c>
      <c r="B74" s="64">
        <v>62.3</v>
      </c>
      <c r="C74" s="64">
        <v>28.9</v>
      </c>
      <c r="D74" s="64">
        <v>33.4</v>
      </c>
      <c r="E74" s="64">
        <v>106.7</v>
      </c>
      <c r="F74" s="64">
        <v>106.7</v>
      </c>
      <c r="G74" s="64">
        <v>82.7</v>
      </c>
      <c r="H74" s="64">
        <v>43</v>
      </c>
      <c r="I74" s="64">
        <v>39.6</v>
      </c>
      <c r="J74" s="64">
        <v>-14.5</v>
      </c>
      <c r="K74" s="64">
        <v>25.1</v>
      </c>
      <c r="L74" s="64">
        <v>18176</v>
      </c>
      <c r="M74" s="64">
        <v>224.4</v>
      </c>
      <c r="N74" s="65">
        <v>1.25</v>
      </c>
    </row>
    <row r="75" spans="1:14">
      <c r="A75" s="6">
        <v>35217</v>
      </c>
      <c r="B75" s="64">
        <v>62</v>
      </c>
      <c r="C75" s="64">
        <v>31.7</v>
      </c>
      <c r="D75" s="64">
        <v>30.3</v>
      </c>
      <c r="E75" s="64">
        <v>84.8</v>
      </c>
      <c r="F75" s="64">
        <v>84.8</v>
      </c>
      <c r="G75" s="64">
        <v>49.9</v>
      </c>
      <c r="H75" s="64">
        <v>34.200000000000003</v>
      </c>
      <c r="I75" s="64">
        <v>15.7</v>
      </c>
      <c r="J75" s="64">
        <v>4.9000000000000004</v>
      </c>
      <c r="K75" s="64">
        <v>20.6</v>
      </c>
      <c r="L75" s="64">
        <v>18224.8</v>
      </c>
      <c r="M75" s="64">
        <v>219.9</v>
      </c>
      <c r="N75" s="65">
        <v>1.22</v>
      </c>
    </row>
    <row r="76" spans="1:14">
      <c r="A76" s="6">
        <v>35309</v>
      </c>
      <c r="B76" s="64">
        <v>65.3</v>
      </c>
      <c r="C76" s="64">
        <v>37.1</v>
      </c>
      <c r="D76" s="64">
        <v>28.2</v>
      </c>
      <c r="E76" s="64">
        <v>87.3</v>
      </c>
      <c r="F76" s="64">
        <v>87.3</v>
      </c>
      <c r="G76" s="64">
        <v>64.3</v>
      </c>
      <c r="H76" s="64">
        <v>36.700000000000003</v>
      </c>
      <c r="I76" s="64">
        <v>27.7</v>
      </c>
      <c r="J76" s="64">
        <v>4.5999999999999996</v>
      </c>
      <c r="K76" s="64">
        <v>32.299999999999997</v>
      </c>
      <c r="L76" s="64">
        <v>18281.3</v>
      </c>
      <c r="M76" s="64">
        <v>219.1</v>
      </c>
      <c r="N76" s="65">
        <v>1.21</v>
      </c>
    </row>
    <row r="77" spans="1:14">
      <c r="A77" s="6">
        <v>35400</v>
      </c>
      <c r="B77" s="64">
        <v>63.8</v>
      </c>
      <c r="C77" s="64">
        <v>30.5</v>
      </c>
      <c r="D77" s="64">
        <v>33.299999999999997</v>
      </c>
      <c r="E77" s="64">
        <v>103.7</v>
      </c>
      <c r="F77" s="64">
        <v>103.7</v>
      </c>
      <c r="G77" s="64">
        <v>64.400000000000006</v>
      </c>
      <c r="H77" s="64">
        <v>44.3</v>
      </c>
      <c r="I77" s="64">
        <v>20.100000000000001</v>
      </c>
      <c r="J77" s="64">
        <v>-0.7</v>
      </c>
      <c r="K77" s="64">
        <v>19.399999999999999</v>
      </c>
      <c r="L77" s="64">
        <v>18330.099999999999</v>
      </c>
      <c r="M77" s="64">
        <v>210.5</v>
      </c>
      <c r="N77" s="65">
        <v>1.1599999999999999</v>
      </c>
    </row>
    <row r="78" spans="1:14">
      <c r="A78" s="6">
        <v>35490</v>
      </c>
      <c r="B78" s="64">
        <v>61.6</v>
      </c>
      <c r="C78" s="64">
        <v>28.4</v>
      </c>
      <c r="D78" s="64">
        <v>33.200000000000003</v>
      </c>
      <c r="E78" s="64">
        <v>93.1</v>
      </c>
      <c r="F78" s="64">
        <v>93.1</v>
      </c>
      <c r="G78" s="64">
        <v>82.7</v>
      </c>
      <c r="H78" s="64">
        <v>46.6</v>
      </c>
      <c r="I78" s="64">
        <v>36.1</v>
      </c>
      <c r="J78" s="64">
        <v>-6.7</v>
      </c>
      <c r="K78" s="64">
        <v>29.4</v>
      </c>
      <c r="L78" s="64">
        <v>18388.7</v>
      </c>
      <c r="M78" s="64">
        <v>212.7</v>
      </c>
      <c r="N78" s="65">
        <v>1.17</v>
      </c>
    </row>
    <row r="79" spans="1:14">
      <c r="A79" s="6">
        <v>35582</v>
      </c>
      <c r="B79" s="64">
        <v>63.6</v>
      </c>
      <c r="C79" s="64">
        <v>31.4</v>
      </c>
      <c r="D79" s="64">
        <v>32.200000000000003</v>
      </c>
      <c r="E79" s="64">
        <v>90</v>
      </c>
      <c r="F79" s="64">
        <v>90</v>
      </c>
      <c r="G79" s="64">
        <v>49.5</v>
      </c>
      <c r="H79" s="64">
        <v>38.9</v>
      </c>
      <c r="I79" s="64">
        <v>10.6</v>
      </c>
      <c r="J79" s="64">
        <v>-4.5</v>
      </c>
      <c r="K79" s="64">
        <v>6.1</v>
      </c>
      <c r="L79" s="64">
        <v>18423</v>
      </c>
      <c r="M79" s="64">
        <v>198.3</v>
      </c>
      <c r="N79" s="65">
        <v>1.0900000000000001</v>
      </c>
    </row>
    <row r="80" spans="1:14">
      <c r="A80" s="6">
        <v>35674</v>
      </c>
      <c r="B80" s="64">
        <v>64.5</v>
      </c>
      <c r="C80" s="64">
        <v>38</v>
      </c>
      <c r="D80" s="64">
        <v>26.5</v>
      </c>
      <c r="E80" s="64">
        <v>82.1</v>
      </c>
      <c r="F80" s="64">
        <v>82.1</v>
      </c>
      <c r="G80" s="64">
        <v>65.099999999999994</v>
      </c>
      <c r="H80" s="64">
        <v>42.2</v>
      </c>
      <c r="I80" s="64">
        <v>22.9</v>
      </c>
      <c r="J80" s="64"/>
      <c r="K80" s="64">
        <v>22.9</v>
      </c>
      <c r="L80" s="64">
        <v>18468.7</v>
      </c>
      <c r="M80" s="64">
        <v>187.4</v>
      </c>
      <c r="N80" s="65">
        <v>1.03</v>
      </c>
    </row>
    <row r="81" spans="1:14">
      <c r="A81" s="6">
        <v>35765</v>
      </c>
      <c r="B81" s="64">
        <v>62.1</v>
      </c>
      <c r="C81" s="64">
        <v>31</v>
      </c>
      <c r="D81" s="64">
        <v>31</v>
      </c>
      <c r="E81" s="64">
        <v>103.7</v>
      </c>
      <c r="F81" s="64">
        <v>103.7</v>
      </c>
      <c r="G81" s="64">
        <v>62.9</v>
      </c>
      <c r="H81" s="64">
        <v>48.8</v>
      </c>
      <c r="I81" s="64">
        <v>14</v>
      </c>
      <c r="J81" s="64"/>
      <c r="K81" s="64">
        <v>14</v>
      </c>
      <c r="L81" s="64">
        <v>18510</v>
      </c>
      <c r="M81" s="64">
        <v>179.9</v>
      </c>
      <c r="N81" s="65">
        <v>0.98</v>
      </c>
    </row>
    <row r="82" spans="1:14">
      <c r="A82" s="6">
        <v>35855</v>
      </c>
      <c r="B82" s="64">
        <v>60.9</v>
      </c>
      <c r="C82" s="64">
        <v>28.4</v>
      </c>
      <c r="D82" s="64">
        <v>32.5</v>
      </c>
      <c r="E82" s="64">
        <v>88.6</v>
      </c>
      <c r="F82" s="64">
        <v>88.6</v>
      </c>
      <c r="G82" s="64">
        <v>83.4</v>
      </c>
      <c r="H82" s="64">
        <v>49.7</v>
      </c>
      <c r="I82" s="64">
        <v>33.700000000000003</v>
      </c>
      <c r="J82" s="64"/>
      <c r="K82" s="64">
        <v>33.700000000000003</v>
      </c>
      <c r="L82" s="64">
        <v>18572.400000000001</v>
      </c>
      <c r="M82" s="64">
        <v>183.7</v>
      </c>
      <c r="N82" s="65">
        <v>1</v>
      </c>
    </row>
    <row r="83" spans="1:14">
      <c r="A83" s="6">
        <v>35947</v>
      </c>
      <c r="B83" s="64">
        <v>62.3</v>
      </c>
      <c r="C83" s="64">
        <v>31.8</v>
      </c>
      <c r="D83" s="64">
        <v>30.5</v>
      </c>
      <c r="E83" s="64">
        <v>89.4</v>
      </c>
      <c r="F83" s="64">
        <v>89.4</v>
      </c>
      <c r="G83" s="64">
        <v>54.1</v>
      </c>
      <c r="H83" s="64">
        <v>45.6</v>
      </c>
      <c r="I83" s="64">
        <v>8.5</v>
      </c>
      <c r="J83" s="64"/>
      <c r="K83" s="64">
        <v>8.5</v>
      </c>
      <c r="L83" s="64">
        <v>18607.599999999999</v>
      </c>
      <c r="M83" s="64">
        <v>184.5</v>
      </c>
      <c r="N83" s="65">
        <v>1</v>
      </c>
    </row>
    <row r="84" spans="1:14">
      <c r="A84" s="6">
        <v>36039</v>
      </c>
      <c r="B84" s="64">
        <v>64.3</v>
      </c>
      <c r="C84" s="64">
        <v>36.4</v>
      </c>
      <c r="D84" s="64">
        <v>27.8</v>
      </c>
      <c r="E84" s="64">
        <v>80.099999999999994</v>
      </c>
      <c r="F84" s="64">
        <v>80.099999999999994</v>
      </c>
      <c r="G84" s="64">
        <v>67.599999999999994</v>
      </c>
      <c r="H84" s="64">
        <v>41.1</v>
      </c>
      <c r="I84" s="64">
        <v>26.5</v>
      </c>
      <c r="J84" s="64"/>
      <c r="K84" s="64">
        <v>26.5</v>
      </c>
      <c r="L84" s="64">
        <v>18658.400000000001</v>
      </c>
      <c r="M84" s="64">
        <v>189.7</v>
      </c>
      <c r="N84" s="65">
        <v>1.03</v>
      </c>
    </row>
    <row r="85" spans="1:14">
      <c r="A85" s="6">
        <v>36130</v>
      </c>
      <c r="B85" s="64">
        <v>61.5</v>
      </c>
      <c r="C85" s="64">
        <v>30.8</v>
      </c>
      <c r="D85" s="64">
        <v>30.7</v>
      </c>
      <c r="E85" s="64">
        <v>102</v>
      </c>
      <c r="F85" s="64">
        <v>102</v>
      </c>
      <c r="G85" s="64">
        <v>63.3</v>
      </c>
      <c r="H85" s="64">
        <v>43.2</v>
      </c>
      <c r="I85" s="64">
        <v>20.100000000000001</v>
      </c>
      <c r="J85" s="64"/>
      <c r="K85" s="64">
        <v>20.100000000000001</v>
      </c>
      <c r="L85" s="64">
        <v>18705.599999999999</v>
      </c>
      <c r="M85" s="64">
        <v>195.6</v>
      </c>
      <c r="N85" s="65">
        <v>1.06</v>
      </c>
    </row>
    <row r="86" spans="1:14">
      <c r="A86" s="6">
        <v>36220</v>
      </c>
      <c r="B86" s="64">
        <v>62.2</v>
      </c>
      <c r="C86" s="64">
        <v>28.8</v>
      </c>
      <c r="D86" s="64">
        <v>33.4</v>
      </c>
      <c r="E86" s="64">
        <v>87.2</v>
      </c>
      <c r="F86" s="64">
        <v>87.2</v>
      </c>
      <c r="G86" s="64">
        <v>85.4</v>
      </c>
      <c r="H86" s="64">
        <v>50.3</v>
      </c>
      <c r="I86" s="64">
        <v>35.1</v>
      </c>
      <c r="J86" s="64"/>
      <c r="K86" s="64">
        <v>35.1</v>
      </c>
      <c r="L86" s="64">
        <v>18770.5</v>
      </c>
      <c r="M86" s="64">
        <v>198.1</v>
      </c>
      <c r="N86" s="65">
        <v>1.07</v>
      </c>
    </row>
    <row r="87" spans="1:14">
      <c r="A87" s="6">
        <v>36312</v>
      </c>
      <c r="B87" s="64">
        <v>62.7</v>
      </c>
      <c r="C87" s="64">
        <v>32.200000000000003</v>
      </c>
      <c r="D87" s="64">
        <v>30.5</v>
      </c>
      <c r="E87" s="64">
        <v>89.2</v>
      </c>
      <c r="F87" s="64">
        <v>89.2</v>
      </c>
      <c r="G87" s="64">
        <v>55.6</v>
      </c>
      <c r="H87" s="64">
        <v>40.799999999999997</v>
      </c>
      <c r="I87" s="64">
        <v>14.8</v>
      </c>
      <c r="J87" s="64"/>
      <c r="K87" s="64">
        <v>14.8</v>
      </c>
      <c r="L87" s="64">
        <v>18812.3</v>
      </c>
      <c r="M87" s="64">
        <v>204.7</v>
      </c>
      <c r="N87" s="65">
        <v>1.1000000000000001</v>
      </c>
    </row>
    <row r="88" spans="1:14">
      <c r="A88" s="6">
        <v>36404</v>
      </c>
      <c r="B88" s="64">
        <v>64.8</v>
      </c>
      <c r="C88" s="64">
        <v>35.9</v>
      </c>
      <c r="D88" s="64">
        <v>28.9</v>
      </c>
      <c r="E88" s="64">
        <v>81.3</v>
      </c>
      <c r="F88" s="64">
        <v>81.3</v>
      </c>
      <c r="G88" s="64">
        <v>75.3</v>
      </c>
      <c r="H88" s="64">
        <v>45.5</v>
      </c>
      <c r="I88" s="64">
        <v>29.7</v>
      </c>
      <c r="J88" s="64"/>
      <c r="K88" s="64">
        <v>29.7</v>
      </c>
      <c r="L88" s="64">
        <v>18867.7</v>
      </c>
      <c r="M88" s="64">
        <v>209.3</v>
      </c>
      <c r="N88" s="65">
        <v>1.1200000000000001</v>
      </c>
    </row>
    <row r="89" spans="1:14">
      <c r="A89" s="6">
        <v>36495</v>
      </c>
      <c r="B89" s="64">
        <v>61.4</v>
      </c>
      <c r="C89" s="64">
        <v>31.2</v>
      </c>
      <c r="D89" s="64">
        <v>30.1</v>
      </c>
      <c r="E89" s="64">
        <v>103.1</v>
      </c>
      <c r="F89" s="64">
        <v>103.1</v>
      </c>
      <c r="G89" s="64">
        <v>73.599999999999994</v>
      </c>
      <c r="H89" s="64">
        <v>49</v>
      </c>
      <c r="I89" s="64">
        <v>24.6</v>
      </c>
      <c r="J89" s="64"/>
      <c r="K89" s="64">
        <v>24.6</v>
      </c>
      <c r="L89" s="64">
        <v>18919.2</v>
      </c>
      <c r="M89" s="64">
        <v>213.6</v>
      </c>
      <c r="N89" s="65">
        <v>1.1399999999999999</v>
      </c>
    </row>
    <row r="90" spans="1:14">
      <c r="A90" s="6">
        <v>36586</v>
      </c>
      <c r="B90" s="64">
        <v>62.2</v>
      </c>
      <c r="C90" s="64">
        <v>28.9</v>
      </c>
      <c r="D90" s="64">
        <v>33.299999999999997</v>
      </c>
      <c r="E90" s="64">
        <v>91.8</v>
      </c>
      <c r="F90" s="64">
        <v>91.8</v>
      </c>
      <c r="G90" s="64">
        <v>93.9</v>
      </c>
      <c r="H90" s="64">
        <v>56.4</v>
      </c>
      <c r="I90" s="64">
        <v>37.4</v>
      </c>
      <c r="J90" s="64"/>
      <c r="K90" s="64">
        <v>37.4</v>
      </c>
      <c r="L90" s="64">
        <v>18986.7</v>
      </c>
      <c r="M90" s="64">
        <v>216.2</v>
      </c>
      <c r="N90" s="65">
        <v>1.1499999999999999</v>
      </c>
    </row>
    <row r="91" spans="1:14">
      <c r="A91" s="6">
        <v>36678</v>
      </c>
      <c r="B91" s="64">
        <v>62.1</v>
      </c>
      <c r="C91" s="64">
        <v>32.299999999999997</v>
      </c>
      <c r="D91" s="64">
        <v>29.8</v>
      </c>
      <c r="E91" s="64">
        <v>91.3</v>
      </c>
      <c r="F91" s="64">
        <v>91.3</v>
      </c>
      <c r="G91" s="64">
        <v>62.4</v>
      </c>
      <c r="H91" s="64">
        <v>46.9</v>
      </c>
      <c r="I91" s="64">
        <v>15.5</v>
      </c>
      <c r="J91" s="64"/>
      <c r="K91" s="64">
        <v>15.5</v>
      </c>
      <c r="L91" s="64">
        <v>19028.8</v>
      </c>
      <c r="M91" s="64">
        <v>216.5</v>
      </c>
      <c r="N91" s="65">
        <v>1.1499999999999999</v>
      </c>
    </row>
    <row r="92" spans="1:14">
      <c r="A92" s="6">
        <v>36770</v>
      </c>
      <c r="B92" s="64">
        <v>64.099999999999994</v>
      </c>
      <c r="C92" s="64">
        <v>36.299999999999997</v>
      </c>
      <c r="D92" s="64">
        <v>27.9</v>
      </c>
      <c r="E92" s="64">
        <v>84.6</v>
      </c>
      <c r="F92" s="64">
        <v>84.6</v>
      </c>
      <c r="G92" s="64">
        <v>80.2</v>
      </c>
      <c r="H92" s="64">
        <v>48.3</v>
      </c>
      <c r="I92" s="64">
        <v>31.9</v>
      </c>
      <c r="J92" s="64"/>
      <c r="K92" s="64">
        <v>31.9</v>
      </c>
      <c r="L92" s="64">
        <v>19086</v>
      </c>
      <c r="M92" s="64">
        <v>218.4</v>
      </c>
      <c r="N92" s="65">
        <v>1.1599999999999999</v>
      </c>
    </row>
    <row r="93" spans="1:14">
      <c r="A93" s="6">
        <v>36861</v>
      </c>
      <c r="B93" s="64">
        <v>62.3</v>
      </c>
      <c r="C93" s="64">
        <v>31.4</v>
      </c>
      <c r="D93" s="64">
        <v>30.9</v>
      </c>
      <c r="E93" s="64">
        <v>110.5</v>
      </c>
      <c r="F93" s="64">
        <v>110.5</v>
      </c>
      <c r="G93" s="64">
        <v>81</v>
      </c>
      <c r="H93" s="64">
        <v>54.4</v>
      </c>
      <c r="I93" s="64">
        <v>26.6</v>
      </c>
      <c r="J93" s="64"/>
      <c r="K93" s="64">
        <v>26.6</v>
      </c>
      <c r="L93" s="64">
        <v>19141</v>
      </c>
      <c r="M93" s="64">
        <v>221.8</v>
      </c>
      <c r="N93" s="65">
        <v>1.17</v>
      </c>
    </row>
    <row r="94" spans="1:14">
      <c r="A94" s="6">
        <v>36951</v>
      </c>
      <c r="B94" s="64">
        <v>61.1</v>
      </c>
      <c r="C94" s="64">
        <v>29.2</v>
      </c>
      <c r="D94" s="64">
        <v>31.9</v>
      </c>
      <c r="E94" s="64">
        <v>92.7</v>
      </c>
      <c r="F94" s="64">
        <v>92.7</v>
      </c>
      <c r="G94" s="64">
        <v>116.1</v>
      </c>
      <c r="H94" s="64">
        <v>61.3</v>
      </c>
      <c r="I94" s="64">
        <v>54.8</v>
      </c>
      <c r="J94" s="64"/>
      <c r="K94" s="64">
        <v>54.8</v>
      </c>
      <c r="L94" s="64">
        <v>19225.2</v>
      </c>
      <c r="M94" s="64">
        <v>238.5</v>
      </c>
      <c r="N94" s="65">
        <v>1.26</v>
      </c>
    </row>
    <row r="95" spans="1:14">
      <c r="A95" s="6">
        <v>37043</v>
      </c>
      <c r="B95" s="64">
        <v>61.8</v>
      </c>
      <c r="C95" s="64">
        <v>32.1</v>
      </c>
      <c r="D95" s="64">
        <v>29.7</v>
      </c>
      <c r="E95" s="64">
        <v>93.1</v>
      </c>
      <c r="F95" s="64">
        <v>93.1</v>
      </c>
      <c r="G95" s="64">
        <v>71.2</v>
      </c>
      <c r="H95" s="64">
        <v>48.8</v>
      </c>
      <c r="I95" s="64">
        <v>22.4</v>
      </c>
      <c r="J95" s="64"/>
      <c r="K95" s="64">
        <v>22.4</v>
      </c>
      <c r="L95" s="64">
        <v>19274.7</v>
      </c>
      <c r="M95" s="64">
        <v>245.9</v>
      </c>
      <c r="N95" s="65">
        <v>1.29</v>
      </c>
    </row>
    <row r="96" spans="1:14">
      <c r="A96" s="6">
        <v>37135</v>
      </c>
      <c r="B96" s="64">
        <v>64.2</v>
      </c>
      <c r="C96" s="64">
        <v>35.200000000000003</v>
      </c>
      <c r="D96" s="64">
        <v>29</v>
      </c>
      <c r="E96" s="64">
        <v>85.6</v>
      </c>
      <c r="F96" s="64">
        <v>85.6</v>
      </c>
      <c r="G96" s="64">
        <v>88.8</v>
      </c>
      <c r="H96" s="64">
        <v>53.1</v>
      </c>
      <c r="I96" s="64">
        <v>35.700000000000003</v>
      </c>
      <c r="J96" s="64">
        <v>-7.9</v>
      </c>
      <c r="K96" s="64">
        <v>27.7</v>
      </c>
      <c r="L96" s="64">
        <v>19329.099999999999</v>
      </c>
      <c r="M96" s="64">
        <v>243.1</v>
      </c>
      <c r="N96" s="65">
        <v>1.27</v>
      </c>
    </row>
    <row r="97" spans="1:14">
      <c r="A97" s="6">
        <v>37226</v>
      </c>
      <c r="B97" s="64">
        <v>60.8</v>
      </c>
      <c r="C97" s="64">
        <v>32.299999999999997</v>
      </c>
      <c r="D97" s="64">
        <v>28.5</v>
      </c>
      <c r="E97" s="64">
        <v>103.3</v>
      </c>
      <c r="F97" s="64">
        <v>103.3</v>
      </c>
      <c r="G97" s="64">
        <v>80.400000000000006</v>
      </c>
      <c r="H97" s="64">
        <v>52.9</v>
      </c>
      <c r="I97" s="64">
        <v>27.5</v>
      </c>
      <c r="J97" s="64">
        <v>3.7</v>
      </c>
      <c r="K97" s="64">
        <v>31.2</v>
      </c>
      <c r="L97" s="64">
        <v>19386.5</v>
      </c>
      <c r="M97" s="64">
        <v>245.4</v>
      </c>
      <c r="N97" s="65">
        <v>1.28</v>
      </c>
    </row>
    <row r="98" spans="1:14">
      <c r="A98" s="6">
        <v>37316</v>
      </c>
      <c r="B98" s="64">
        <v>62.5</v>
      </c>
      <c r="C98" s="64">
        <v>29.6</v>
      </c>
      <c r="D98" s="64">
        <v>32.799999999999997</v>
      </c>
      <c r="E98" s="64">
        <v>97.3</v>
      </c>
      <c r="F98" s="64">
        <v>97.3</v>
      </c>
      <c r="G98" s="64">
        <v>113.9</v>
      </c>
      <c r="H98" s="64">
        <v>63.4</v>
      </c>
      <c r="I98" s="64">
        <v>50.6</v>
      </c>
      <c r="J98" s="64">
        <v>-14.2</v>
      </c>
      <c r="K98" s="64">
        <v>36.4</v>
      </c>
      <c r="L98" s="64">
        <v>19453.400000000001</v>
      </c>
      <c r="M98" s="64">
        <v>228.2</v>
      </c>
      <c r="N98" s="65">
        <v>1.19</v>
      </c>
    </row>
    <row r="99" spans="1:14">
      <c r="A99" s="6">
        <v>37408</v>
      </c>
      <c r="B99" s="64">
        <v>61.9</v>
      </c>
      <c r="C99" s="64">
        <v>33.1</v>
      </c>
      <c r="D99" s="64">
        <v>28.9</v>
      </c>
      <c r="E99" s="64">
        <v>97.9</v>
      </c>
      <c r="F99" s="64">
        <v>97.9</v>
      </c>
      <c r="G99" s="64">
        <v>70.3</v>
      </c>
      <c r="H99" s="64">
        <v>50.3</v>
      </c>
      <c r="I99" s="64">
        <v>20</v>
      </c>
      <c r="J99" s="64">
        <v>-4.7</v>
      </c>
      <c r="K99" s="64">
        <v>15.3</v>
      </c>
      <c r="L99" s="64">
        <v>19495.2</v>
      </c>
      <c r="M99" s="64">
        <v>220.5</v>
      </c>
      <c r="N99" s="65">
        <v>1.1399999999999999</v>
      </c>
    </row>
    <row r="100" spans="1:14">
      <c r="A100" s="6">
        <v>37500</v>
      </c>
      <c r="B100" s="64">
        <v>63.9</v>
      </c>
      <c r="C100" s="64">
        <v>38.1</v>
      </c>
      <c r="D100" s="64">
        <v>25.7</v>
      </c>
      <c r="E100" s="64">
        <v>91.4</v>
      </c>
      <c r="F100" s="64">
        <v>91.4</v>
      </c>
      <c r="G100" s="64">
        <v>93.6</v>
      </c>
      <c r="H100" s="64">
        <v>53.6</v>
      </c>
      <c r="I100" s="64">
        <v>39.9</v>
      </c>
      <c r="J100" s="64">
        <v>-10.1</v>
      </c>
      <c r="K100" s="64">
        <v>29.9</v>
      </c>
      <c r="L100" s="64">
        <v>19548.900000000001</v>
      </c>
      <c r="M100" s="64">
        <v>219.8</v>
      </c>
      <c r="N100" s="65">
        <v>1.1399999999999999</v>
      </c>
    </row>
    <row r="101" spans="1:14">
      <c r="A101" s="6">
        <v>37591</v>
      </c>
      <c r="B101" s="64">
        <v>61.8</v>
      </c>
      <c r="C101" s="64">
        <v>32.200000000000003</v>
      </c>
      <c r="D101" s="64">
        <v>29.6</v>
      </c>
      <c r="E101" s="64">
        <v>112.9</v>
      </c>
      <c r="F101" s="64">
        <v>112.9</v>
      </c>
      <c r="G101" s="64">
        <v>84.2</v>
      </c>
      <c r="H101" s="64">
        <v>55.7</v>
      </c>
      <c r="I101" s="64">
        <v>28.5</v>
      </c>
      <c r="J101" s="64">
        <v>0.4</v>
      </c>
      <c r="K101" s="64">
        <v>28.9</v>
      </c>
      <c r="L101" s="64">
        <v>19605.400000000001</v>
      </c>
      <c r="M101" s="64">
        <v>219</v>
      </c>
      <c r="N101" s="65">
        <v>1.1299999999999999</v>
      </c>
    </row>
    <row r="102" spans="1:14">
      <c r="A102" s="6">
        <v>37681</v>
      </c>
      <c r="B102" s="64">
        <v>61</v>
      </c>
      <c r="C102" s="64">
        <v>29.4</v>
      </c>
      <c r="D102" s="64">
        <v>31.6</v>
      </c>
      <c r="E102" s="64">
        <v>96.6</v>
      </c>
      <c r="F102" s="64">
        <v>96.6</v>
      </c>
      <c r="G102" s="64">
        <v>122</v>
      </c>
      <c r="H102" s="64">
        <v>61.6</v>
      </c>
      <c r="I102" s="64">
        <v>60.4</v>
      </c>
      <c r="J102" s="64">
        <v>-18.8</v>
      </c>
      <c r="K102" s="64">
        <v>41.6</v>
      </c>
      <c r="L102" s="64">
        <v>19676.599999999999</v>
      </c>
      <c r="M102" s="64">
        <v>223.3</v>
      </c>
      <c r="N102" s="65">
        <v>1.1499999999999999</v>
      </c>
    </row>
    <row r="103" spans="1:14">
      <c r="A103" s="6">
        <v>37773</v>
      </c>
      <c r="B103" s="64">
        <v>62.5</v>
      </c>
      <c r="C103" s="64">
        <v>32.5</v>
      </c>
      <c r="D103" s="64">
        <v>30</v>
      </c>
      <c r="E103" s="64">
        <v>97.7</v>
      </c>
      <c r="F103" s="64">
        <v>97.7</v>
      </c>
      <c r="G103" s="64">
        <v>74.099999999999994</v>
      </c>
      <c r="H103" s="64">
        <v>48.7</v>
      </c>
      <c r="I103" s="64">
        <v>25.4</v>
      </c>
      <c r="J103" s="64">
        <v>-9.3000000000000007</v>
      </c>
      <c r="K103" s="64">
        <v>16.100000000000001</v>
      </c>
      <c r="L103" s="64">
        <v>19720.7</v>
      </c>
      <c r="M103" s="64">
        <v>225.5</v>
      </c>
      <c r="N103" s="65">
        <v>1.1599999999999999</v>
      </c>
    </row>
    <row r="104" spans="1:14">
      <c r="A104" s="6">
        <v>37865</v>
      </c>
      <c r="B104" s="64">
        <v>64.900000000000006</v>
      </c>
      <c r="C104" s="64">
        <v>37.799999999999997</v>
      </c>
      <c r="D104" s="64">
        <v>27.2</v>
      </c>
      <c r="E104" s="64">
        <v>90</v>
      </c>
      <c r="F104" s="64">
        <v>90</v>
      </c>
      <c r="G104" s="64">
        <v>101.7</v>
      </c>
      <c r="H104" s="64">
        <v>54.3</v>
      </c>
      <c r="I104" s="64">
        <v>47.4</v>
      </c>
      <c r="J104" s="64">
        <v>-20.2</v>
      </c>
      <c r="K104" s="64">
        <v>27.2</v>
      </c>
      <c r="L104" s="64">
        <v>19773.400000000001</v>
      </c>
      <c r="M104" s="64">
        <v>224.6</v>
      </c>
      <c r="N104" s="65">
        <v>1.1499999999999999</v>
      </c>
    </row>
    <row r="105" spans="1:14">
      <c r="A105" s="6">
        <v>37956</v>
      </c>
      <c r="B105" s="64">
        <v>62.3</v>
      </c>
      <c r="C105" s="64">
        <v>32.1</v>
      </c>
      <c r="D105" s="64">
        <v>30.2</v>
      </c>
      <c r="E105" s="64">
        <v>108.3</v>
      </c>
      <c r="F105" s="64">
        <v>108.3</v>
      </c>
      <c r="G105" s="64">
        <v>90.7</v>
      </c>
      <c r="H105" s="64">
        <v>60.3</v>
      </c>
      <c r="I105" s="64">
        <v>30.4</v>
      </c>
      <c r="J105" s="64">
        <v>-5.2</v>
      </c>
      <c r="K105" s="64">
        <v>25.2</v>
      </c>
      <c r="L105" s="64">
        <v>19827.2</v>
      </c>
      <c r="M105" s="64">
        <v>221.7</v>
      </c>
      <c r="N105" s="65">
        <v>1.1299999999999999</v>
      </c>
    </row>
    <row r="106" spans="1:14">
      <c r="A106" s="6">
        <v>38047</v>
      </c>
      <c r="B106" s="64">
        <v>63.5</v>
      </c>
      <c r="C106" s="64">
        <v>30.3</v>
      </c>
      <c r="D106" s="64">
        <v>33.200000000000003</v>
      </c>
      <c r="E106" s="64">
        <v>96.4</v>
      </c>
      <c r="F106" s="64">
        <v>96.4</v>
      </c>
      <c r="G106" s="64">
        <v>128.9</v>
      </c>
      <c r="H106" s="64">
        <v>66</v>
      </c>
      <c r="I106" s="64">
        <v>62.9</v>
      </c>
      <c r="J106" s="64">
        <v>-27.5</v>
      </c>
      <c r="K106" s="64">
        <v>35.5</v>
      </c>
      <c r="L106" s="64">
        <v>19894.099999999999</v>
      </c>
      <c r="M106" s="64">
        <v>217.5</v>
      </c>
      <c r="N106" s="65">
        <v>1.1100000000000001</v>
      </c>
    </row>
    <row r="107" spans="1:14">
      <c r="A107" s="6">
        <v>38139</v>
      </c>
      <c r="B107" s="64">
        <v>61.3</v>
      </c>
      <c r="C107" s="64">
        <v>33</v>
      </c>
      <c r="D107" s="64">
        <v>28.2</v>
      </c>
      <c r="E107" s="64">
        <v>91.8</v>
      </c>
      <c r="F107" s="64">
        <v>91.8</v>
      </c>
      <c r="G107" s="64">
        <v>80</v>
      </c>
      <c r="H107" s="64">
        <v>56.1</v>
      </c>
      <c r="I107" s="64">
        <v>23.9</v>
      </c>
      <c r="J107" s="64">
        <v>-11.8</v>
      </c>
      <c r="K107" s="64">
        <v>12.1</v>
      </c>
      <c r="L107" s="64">
        <v>19932.7</v>
      </c>
      <c r="M107" s="64">
        <v>212</v>
      </c>
      <c r="N107" s="65">
        <v>1.07</v>
      </c>
    </row>
    <row r="108" spans="1:14">
      <c r="A108" s="6">
        <v>38231</v>
      </c>
      <c r="B108" s="64">
        <v>65</v>
      </c>
      <c r="C108" s="64">
        <v>36.799999999999997</v>
      </c>
      <c r="D108" s="64">
        <v>28.2</v>
      </c>
      <c r="E108" s="64">
        <v>81.400000000000006</v>
      </c>
      <c r="F108" s="64">
        <v>81.400000000000006</v>
      </c>
      <c r="G108" s="64">
        <v>107.7</v>
      </c>
      <c r="H108" s="64">
        <v>57</v>
      </c>
      <c r="I108" s="64">
        <v>50.7</v>
      </c>
      <c r="J108" s="64">
        <v>-20.399999999999999</v>
      </c>
      <c r="K108" s="64">
        <v>30.4</v>
      </c>
      <c r="L108" s="64">
        <v>19989.7</v>
      </c>
      <c r="M108" s="64">
        <v>216.2</v>
      </c>
      <c r="N108" s="65">
        <v>1.0900000000000001</v>
      </c>
    </row>
    <row r="109" spans="1:14">
      <c r="A109" s="6">
        <v>38322</v>
      </c>
      <c r="B109" s="64">
        <v>61.7</v>
      </c>
      <c r="C109" s="64">
        <v>32.299999999999997</v>
      </c>
      <c r="D109" s="64">
        <v>29.5</v>
      </c>
      <c r="E109" s="64">
        <v>100.7</v>
      </c>
      <c r="F109" s="64">
        <v>100.7</v>
      </c>
      <c r="G109" s="64">
        <v>95.9</v>
      </c>
      <c r="H109" s="64">
        <v>64.599999999999994</v>
      </c>
      <c r="I109" s="64">
        <v>31.3</v>
      </c>
      <c r="J109" s="64">
        <v>-2.8</v>
      </c>
      <c r="K109" s="64">
        <v>28.5</v>
      </c>
      <c r="L109" s="64">
        <v>20046</v>
      </c>
      <c r="M109" s="64">
        <v>218.8</v>
      </c>
      <c r="N109" s="65">
        <v>1.1000000000000001</v>
      </c>
    </row>
    <row r="110" spans="1:14">
      <c r="A110" s="6">
        <v>38412</v>
      </c>
      <c r="B110" s="64">
        <v>64.599999999999994</v>
      </c>
      <c r="C110" s="64">
        <v>29.5</v>
      </c>
      <c r="D110" s="64">
        <v>35.1</v>
      </c>
      <c r="E110" s="64">
        <v>89.8</v>
      </c>
      <c r="F110" s="64">
        <v>89.8</v>
      </c>
      <c r="G110" s="64">
        <v>138.69999999999999</v>
      </c>
      <c r="H110" s="64">
        <v>69.900000000000006</v>
      </c>
      <c r="I110" s="64">
        <v>68.8</v>
      </c>
      <c r="J110" s="64">
        <v>-21.8</v>
      </c>
      <c r="K110" s="64">
        <v>47.1</v>
      </c>
      <c r="L110" s="64">
        <v>20126.599999999999</v>
      </c>
      <c r="M110" s="64">
        <v>232.4</v>
      </c>
      <c r="N110" s="65">
        <v>1.17</v>
      </c>
    </row>
    <row r="111" spans="1:14">
      <c r="A111" s="6">
        <v>38504</v>
      </c>
      <c r="B111" s="64">
        <v>67</v>
      </c>
      <c r="C111" s="64">
        <v>32.799999999999997</v>
      </c>
      <c r="D111" s="64">
        <v>34.1</v>
      </c>
      <c r="E111" s="64">
        <v>87.1</v>
      </c>
      <c r="F111" s="64">
        <v>87.1</v>
      </c>
      <c r="G111" s="64">
        <v>84.6</v>
      </c>
      <c r="H111" s="64">
        <v>57.5</v>
      </c>
      <c r="I111" s="64">
        <v>27.1</v>
      </c>
      <c r="J111" s="64">
        <v>-9.3000000000000007</v>
      </c>
      <c r="K111" s="64">
        <v>17.8</v>
      </c>
      <c r="L111" s="64">
        <v>20176.8</v>
      </c>
      <c r="M111" s="64">
        <v>244.1</v>
      </c>
      <c r="N111" s="65">
        <v>1.22</v>
      </c>
    </row>
    <row r="112" spans="1:14">
      <c r="A112" s="6">
        <v>38596</v>
      </c>
      <c r="B112" s="64">
        <v>68.099999999999994</v>
      </c>
      <c r="C112" s="64">
        <v>36.5</v>
      </c>
      <c r="D112" s="64">
        <v>31.6</v>
      </c>
      <c r="E112" s="64">
        <v>76.8</v>
      </c>
      <c r="F112" s="64">
        <v>76.8</v>
      </c>
      <c r="G112" s="64">
        <v>114.1</v>
      </c>
      <c r="H112" s="64">
        <v>59</v>
      </c>
      <c r="I112" s="64">
        <v>55.2</v>
      </c>
      <c r="J112" s="64">
        <v>-17.7</v>
      </c>
      <c r="K112" s="64">
        <v>37.4</v>
      </c>
      <c r="L112" s="64">
        <v>20244.7</v>
      </c>
      <c r="M112" s="64">
        <v>255.1</v>
      </c>
      <c r="N112" s="65">
        <v>1.28</v>
      </c>
    </row>
    <row r="113" spans="1:14">
      <c r="A113" s="6">
        <v>38687</v>
      </c>
      <c r="B113" s="64">
        <v>65.900000000000006</v>
      </c>
      <c r="C113" s="64">
        <v>32.6</v>
      </c>
      <c r="D113" s="64">
        <v>33.299999999999997</v>
      </c>
      <c r="E113" s="64">
        <v>97.5</v>
      </c>
      <c r="F113" s="64">
        <v>97.5</v>
      </c>
      <c r="G113" s="64">
        <v>104.9</v>
      </c>
      <c r="H113" s="64">
        <v>65.400000000000006</v>
      </c>
      <c r="I113" s="64">
        <v>39.4</v>
      </c>
      <c r="J113" s="64">
        <v>-4.8</v>
      </c>
      <c r="K113" s="64">
        <v>34.700000000000003</v>
      </c>
      <c r="L113" s="64">
        <v>20311.5</v>
      </c>
      <c r="M113" s="64">
        <v>265.5</v>
      </c>
      <c r="N113" s="65">
        <v>1.32</v>
      </c>
    </row>
    <row r="114" spans="1:14">
      <c r="A114" s="6">
        <v>38777</v>
      </c>
      <c r="B114" s="64">
        <v>65.3</v>
      </c>
      <c r="C114" s="64">
        <v>30.7</v>
      </c>
      <c r="D114" s="64">
        <v>34.5</v>
      </c>
      <c r="E114" s="64">
        <v>85.6</v>
      </c>
      <c r="F114" s="64">
        <v>85.6</v>
      </c>
      <c r="G114" s="64">
        <v>146</v>
      </c>
      <c r="H114" s="64">
        <v>72.400000000000006</v>
      </c>
      <c r="I114" s="64">
        <v>73.7</v>
      </c>
      <c r="J114" s="64">
        <v>-20.5</v>
      </c>
      <c r="K114" s="64">
        <v>53.2</v>
      </c>
      <c r="L114" s="64">
        <v>20398.099999999999</v>
      </c>
      <c r="M114" s="64">
        <v>271.60000000000002</v>
      </c>
      <c r="N114" s="65">
        <v>1.35</v>
      </c>
    </row>
    <row r="115" spans="1:14">
      <c r="A115" s="6">
        <v>38869</v>
      </c>
      <c r="B115" s="64">
        <v>66.8</v>
      </c>
      <c r="C115" s="64">
        <v>34.200000000000003</v>
      </c>
      <c r="D115" s="64">
        <v>32.6</v>
      </c>
      <c r="E115" s="64">
        <v>82.9</v>
      </c>
      <c r="F115" s="64">
        <v>82.9</v>
      </c>
      <c r="G115" s="64">
        <v>92.4</v>
      </c>
      <c r="H115" s="64">
        <v>61.4</v>
      </c>
      <c r="I115" s="64">
        <v>31</v>
      </c>
      <c r="J115" s="64">
        <v>-9.6</v>
      </c>
      <c r="K115" s="64">
        <v>21.4</v>
      </c>
      <c r="L115" s="64">
        <v>20451</v>
      </c>
      <c r="M115" s="64">
        <v>274.10000000000002</v>
      </c>
      <c r="N115" s="65">
        <v>1.36</v>
      </c>
    </row>
    <row r="116" spans="1:14">
      <c r="A116" s="6">
        <v>38961</v>
      </c>
      <c r="B116" s="64">
        <v>72.599999999999994</v>
      </c>
      <c r="C116" s="64">
        <v>36.4</v>
      </c>
      <c r="D116" s="64">
        <v>36.200000000000003</v>
      </c>
      <c r="E116" s="64">
        <v>77.3</v>
      </c>
      <c r="F116" s="64">
        <v>77.3</v>
      </c>
      <c r="G116" s="64">
        <v>108.4</v>
      </c>
      <c r="H116" s="64">
        <v>51.5</v>
      </c>
      <c r="I116" s="64"/>
      <c r="J116" s="64"/>
      <c r="K116" s="64">
        <v>56.9</v>
      </c>
      <c r="L116" s="64">
        <v>20542.3</v>
      </c>
      <c r="M116" s="64">
        <v>297.60000000000002</v>
      </c>
      <c r="N116" s="65">
        <v>1.47</v>
      </c>
    </row>
    <row r="117" spans="1:14">
      <c r="A117" s="6">
        <v>39052</v>
      </c>
      <c r="B117" s="64">
        <v>69.7</v>
      </c>
      <c r="C117" s="64">
        <v>33.200000000000003</v>
      </c>
      <c r="D117" s="64">
        <v>36.5</v>
      </c>
      <c r="E117" s="64">
        <v>99.4</v>
      </c>
      <c r="F117" s="64">
        <v>99.4</v>
      </c>
      <c r="G117" s="64">
        <v>105</v>
      </c>
      <c r="H117" s="64">
        <v>54.4</v>
      </c>
      <c r="I117" s="64"/>
      <c r="J117" s="64"/>
      <c r="K117" s="64">
        <v>50.6</v>
      </c>
      <c r="L117" s="64">
        <v>20627.5</v>
      </c>
      <c r="M117" s="64">
        <v>316</v>
      </c>
      <c r="N117" s="65">
        <v>1.56</v>
      </c>
    </row>
    <row r="118" spans="1:14">
      <c r="A118" s="6">
        <v>39142</v>
      </c>
      <c r="B118" s="64">
        <v>72.7</v>
      </c>
      <c r="C118" s="64">
        <v>31.6</v>
      </c>
      <c r="D118" s="64">
        <v>41.1</v>
      </c>
      <c r="E118" s="64">
        <v>90.6</v>
      </c>
      <c r="F118" s="64">
        <v>90.6</v>
      </c>
      <c r="G118" s="64">
        <v>125.2</v>
      </c>
      <c r="H118" s="64">
        <v>49.2</v>
      </c>
      <c r="I118" s="64"/>
      <c r="J118" s="64"/>
      <c r="K118" s="64">
        <v>76</v>
      </c>
      <c r="L118" s="64">
        <v>20742.8</v>
      </c>
      <c r="M118" s="64">
        <v>344.7</v>
      </c>
      <c r="N118" s="65">
        <v>1.69</v>
      </c>
    </row>
    <row r="119" spans="1:14">
      <c r="A119" s="6">
        <v>39234</v>
      </c>
      <c r="B119" s="64">
        <v>72.3</v>
      </c>
      <c r="C119" s="64">
        <v>34.799999999999997</v>
      </c>
      <c r="D119" s="64">
        <v>37.5</v>
      </c>
      <c r="E119" s="64">
        <v>91.9</v>
      </c>
      <c r="F119" s="64">
        <v>91.9</v>
      </c>
      <c r="G119" s="64">
        <v>98.8</v>
      </c>
      <c r="H119" s="64">
        <v>49.6</v>
      </c>
      <c r="I119" s="64"/>
      <c r="J119" s="64"/>
      <c r="K119" s="64">
        <v>49.2</v>
      </c>
      <c r="L119" s="64">
        <v>20827.599999999999</v>
      </c>
      <c r="M119" s="64">
        <v>376.7</v>
      </c>
      <c r="N119" s="65">
        <v>1.84</v>
      </c>
    </row>
    <row r="120" spans="1:14">
      <c r="A120" s="6">
        <v>39326</v>
      </c>
      <c r="B120" s="64">
        <v>75.599999999999994</v>
      </c>
      <c r="C120" s="64">
        <v>39.299999999999997</v>
      </c>
      <c r="D120" s="64">
        <v>36.299999999999997</v>
      </c>
      <c r="E120" s="64">
        <v>82</v>
      </c>
      <c r="F120" s="64">
        <v>82</v>
      </c>
      <c r="G120" s="64">
        <v>120.1</v>
      </c>
      <c r="H120" s="64">
        <v>57.3</v>
      </c>
      <c r="I120" s="64"/>
      <c r="J120" s="64"/>
      <c r="K120" s="64">
        <v>62.8</v>
      </c>
      <c r="L120" s="64">
        <v>20924.2</v>
      </c>
      <c r="M120" s="64">
        <v>381.9</v>
      </c>
      <c r="N120" s="65">
        <v>1.86</v>
      </c>
    </row>
    <row r="121" spans="1:14">
      <c r="A121" s="6">
        <v>39417</v>
      </c>
      <c r="B121" s="64">
        <v>72.599999999999994</v>
      </c>
      <c r="C121" s="64">
        <v>34.1</v>
      </c>
      <c r="D121" s="64">
        <v>38.5</v>
      </c>
      <c r="E121" s="64">
        <v>98.9</v>
      </c>
      <c r="F121" s="64">
        <v>98.9</v>
      </c>
      <c r="G121" s="64">
        <v>116.4</v>
      </c>
      <c r="H121" s="64">
        <v>60.4</v>
      </c>
      <c r="I121" s="64"/>
      <c r="J121" s="64"/>
      <c r="K121" s="64">
        <v>56</v>
      </c>
      <c r="L121" s="64">
        <v>21016.1</v>
      </c>
      <c r="M121" s="64">
        <v>388.6</v>
      </c>
      <c r="N121" s="65">
        <v>1.88</v>
      </c>
    </row>
    <row r="122" spans="1:14">
      <c r="A122" s="6">
        <v>39508</v>
      </c>
      <c r="B122" s="64">
        <v>74.099999999999994</v>
      </c>
      <c r="C122" s="64">
        <v>32.200000000000003</v>
      </c>
      <c r="D122" s="64">
        <v>41.9</v>
      </c>
      <c r="E122" s="64">
        <v>92.3</v>
      </c>
      <c r="F122" s="64">
        <v>92.3</v>
      </c>
      <c r="G122" s="64">
        <v>146.6</v>
      </c>
      <c r="H122" s="64">
        <v>53.1</v>
      </c>
      <c r="I122" s="64"/>
      <c r="J122" s="64"/>
      <c r="K122" s="64">
        <v>93.5</v>
      </c>
      <c r="L122" s="64">
        <v>21148.9</v>
      </c>
      <c r="M122" s="64">
        <v>406.1</v>
      </c>
      <c r="N122" s="65">
        <v>1.96</v>
      </c>
    </row>
    <row r="123" spans="1:14">
      <c r="A123" s="6">
        <v>39600</v>
      </c>
      <c r="B123" s="64">
        <v>72.900000000000006</v>
      </c>
      <c r="C123" s="64">
        <v>35.1</v>
      </c>
      <c r="D123" s="64">
        <v>37.700000000000003</v>
      </c>
      <c r="E123" s="64">
        <v>88.2</v>
      </c>
      <c r="F123" s="64">
        <v>88.2</v>
      </c>
      <c r="G123" s="64">
        <v>118.2</v>
      </c>
      <c r="H123" s="64">
        <v>53.1</v>
      </c>
      <c r="I123" s="64"/>
      <c r="J123" s="64"/>
      <c r="K123" s="64">
        <v>65.099999999999994</v>
      </c>
      <c r="L123" s="64">
        <v>21249.200000000001</v>
      </c>
      <c r="M123" s="64">
        <v>421.6</v>
      </c>
      <c r="N123" s="65">
        <v>2.02</v>
      </c>
    </row>
    <row r="124" spans="1:14">
      <c r="A124" s="6">
        <v>39692</v>
      </c>
      <c r="B124" s="64">
        <v>76.7</v>
      </c>
      <c r="C124" s="64">
        <v>40.5</v>
      </c>
      <c r="D124" s="64">
        <v>36.200000000000003</v>
      </c>
      <c r="E124" s="64">
        <v>81.099999999999994</v>
      </c>
      <c r="F124" s="64">
        <v>81.099999999999994</v>
      </c>
      <c r="G124" s="64">
        <v>139</v>
      </c>
      <c r="H124" s="64">
        <v>54.9</v>
      </c>
      <c r="I124" s="64"/>
      <c r="J124" s="64"/>
      <c r="K124" s="64">
        <v>84.1</v>
      </c>
      <c r="L124" s="64">
        <v>21366</v>
      </c>
      <c r="M124" s="64">
        <v>441.9</v>
      </c>
      <c r="N124" s="65">
        <v>2.11</v>
      </c>
    </row>
    <row r="125" spans="1:14">
      <c r="A125" s="6">
        <v>39783</v>
      </c>
      <c r="B125" s="64">
        <v>74.599999999999994</v>
      </c>
      <c r="C125" s="64">
        <v>34.6</v>
      </c>
      <c r="D125" s="64">
        <v>40</v>
      </c>
      <c r="E125" s="64">
        <v>103</v>
      </c>
      <c r="F125" s="64">
        <v>103</v>
      </c>
      <c r="G125" s="64">
        <v>132.19999999999999</v>
      </c>
      <c r="H125" s="64">
        <v>59.1</v>
      </c>
      <c r="I125" s="64"/>
      <c r="J125" s="64"/>
      <c r="K125" s="64">
        <v>73</v>
      </c>
      <c r="L125" s="64">
        <v>21475.599999999999</v>
      </c>
      <c r="M125" s="64">
        <v>459.5</v>
      </c>
      <c r="N125" s="65">
        <v>2.19</v>
      </c>
    </row>
    <row r="126" spans="1:14">
      <c r="A126" s="6">
        <v>39873</v>
      </c>
      <c r="B126" s="64">
        <v>73.900000000000006</v>
      </c>
      <c r="C126" s="64">
        <v>33.1</v>
      </c>
      <c r="D126" s="64">
        <v>40.799999999999997</v>
      </c>
      <c r="E126" s="64">
        <v>88.8</v>
      </c>
      <c r="F126" s="64">
        <v>88.8</v>
      </c>
      <c r="G126" s="64">
        <v>143.19999999999999</v>
      </c>
      <c r="H126" s="64">
        <v>54.5</v>
      </c>
      <c r="I126" s="64"/>
      <c r="J126" s="64"/>
      <c r="K126" s="64">
        <v>88.7</v>
      </c>
      <c r="L126" s="64">
        <v>21601.7</v>
      </c>
      <c r="M126" s="64">
        <v>452.7</v>
      </c>
      <c r="N126" s="65">
        <v>2.14</v>
      </c>
    </row>
    <row r="127" spans="1:14">
      <c r="A127" s="6">
        <v>39965</v>
      </c>
      <c r="B127" s="64">
        <v>74.900000000000006</v>
      </c>
      <c r="C127" s="64">
        <v>35.5</v>
      </c>
      <c r="D127" s="64">
        <v>39.4</v>
      </c>
      <c r="E127" s="64">
        <v>87.6</v>
      </c>
      <c r="F127" s="64">
        <v>87.6</v>
      </c>
      <c r="G127" s="64">
        <v>105.4</v>
      </c>
      <c r="H127" s="64">
        <v>51.4</v>
      </c>
      <c r="I127" s="64"/>
      <c r="J127" s="64"/>
      <c r="K127" s="64">
        <v>54</v>
      </c>
      <c r="L127" s="64">
        <v>21691.7</v>
      </c>
      <c r="M127" s="64">
        <v>442.5</v>
      </c>
      <c r="N127" s="65">
        <v>2.08</v>
      </c>
    </row>
    <row r="128" spans="1:14">
      <c r="A128" s="6">
        <v>40057</v>
      </c>
      <c r="B128" s="64">
        <v>76.5</v>
      </c>
      <c r="C128" s="64">
        <v>38</v>
      </c>
      <c r="D128" s="64">
        <v>38.5</v>
      </c>
      <c r="E128" s="64">
        <v>75.8</v>
      </c>
      <c r="F128" s="64">
        <v>75.8</v>
      </c>
      <c r="G128" s="64">
        <v>122.6</v>
      </c>
      <c r="H128" s="64">
        <v>60.1</v>
      </c>
      <c r="I128" s="64"/>
      <c r="J128" s="64"/>
      <c r="K128" s="64">
        <v>62.5</v>
      </c>
      <c r="L128" s="64">
        <v>21788.1</v>
      </c>
      <c r="M128" s="64">
        <v>422</v>
      </c>
      <c r="N128" s="65">
        <v>1.98</v>
      </c>
    </row>
    <row r="129" spans="1:14">
      <c r="A129" s="6">
        <v>40148</v>
      </c>
      <c r="B129" s="64">
        <v>75.5</v>
      </c>
      <c r="C129" s="64">
        <v>35</v>
      </c>
      <c r="D129" s="64">
        <v>40.5</v>
      </c>
      <c r="E129" s="64">
        <v>91.7</v>
      </c>
      <c r="F129" s="64">
        <v>91.7</v>
      </c>
      <c r="G129" s="64">
        <v>107.6</v>
      </c>
      <c r="H129" s="64">
        <v>65.900000000000006</v>
      </c>
      <c r="I129" s="64"/>
      <c r="J129" s="64"/>
      <c r="K129" s="64">
        <v>41.7</v>
      </c>
      <c r="L129" s="64">
        <v>21865.599999999999</v>
      </c>
      <c r="M129" s="64">
        <v>390</v>
      </c>
      <c r="N129" s="65">
        <v>1.82</v>
      </c>
    </row>
    <row r="130" spans="1:14">
      <c r="A130" s="6">
        <v>40238</v>
      </c>
      <c r="B130" s="64">
        <v>76</v>
      </c>
      <c r="C130" s="64">
        <v>32.700000000000003</v>
      </c>
      <c r="D130" s="64">
        <v>43.2</v>
      </c>
      <c r="E130" s="64">
        <v>82</v>
      </c>
      <c r="F130" s="64">
        <v>82</v>
      </c>
      <c r="G130" s="64">
        <v>119.2</v>
      </c>
      <c r="H130" s="64">
        <v>59.4</v>
      </c>
      <c r="I130" s="64"/>
      <c r="J130" s="64"/>
      <c r="K130" s="64">
        <v>59.9</v>
      </c>
      <c r="L130" s="64">
        <v>21964.1</v>
      </c>
      <c r="M130" s="64">
        <v>362.4</v>
      </c>
      <c r="N130" s="65">
        <v>1.68</v>
      </c>
    </row>
    <row r="131" spans="1:14">
      <c r="A131" s="6">
        <v>40330</v>
      </c>
      <c r="B131" s="64">
        <v>76</v>
      </c>
      <c r="C131" s="64">
        <v>35.799999999999997</v>
      </c>
      <c r="D131" s="64">
        <v>40.299999999999997</v>
      </c>
      <c r="E131" s="64">
        <v>82.4</v>
      </c>
      <c r="F131" s="64">
        <v>82.4</v>
      </c>
      <c r="G131" s="64">
        <v>88.5</v>
      </c>
      <c r="H131" s="64">
        <v>56.5</v>
      </c>
      <c r="I131" s="64"/>
      <c r="J131" s="64"/>
      <c r="K131" s="64">
        <v>32</v>
      </c>
      <c r="L131" s="64">
        <v>22031.8</v>
      </c>
      <c r="M131" s="64">
        <v>340.1</v>
      </c>
      <c r="N131" s="65">
        <v>1.57</v>
      </c>
    </row>
    <row r="132" spans="1:14">
      <c r="A132" s="6">
        <v>40422</v>
      </c>
      <c r="B132" s="64">
        <v>76.3</v>
      </c>
      <c r="C132" s="64">
        <v>38.5</v>
      </c>
      <c r="D132" s="64">
        <v>37.799999999999997</v>
      </c>
      <c r="E132" s="64">
        <v>75.5</v>
      </c>
      <c r="F132" s="64">
        <v>75.5</v>
      </c>
      <c r="G132" s="64">
        <v>109.6</v>
      </c>
      <c r="H132" s="64">
        <v>67.8</v>
      </c>
      <c r="I132" s="64"/>
      <c r="J132" s="64"/>
      <c r="K132" s="64">
        <v>41.8</v>
      </c>
      <c r="L132" s="64">
        <v>22104.400000000001</v>
      </c>
      <c r="M132" s="64">
        <v>316.3</v>
      </c>
      <c r="N132" s="65">
        <v>1.45</v>
      </c>
    </row>
    <row r="133" spans="1:14">
      <c r="A133" s="6">
        <v>40513</v>
      </c>
      <c r="B133" s="64">
        <v>72.5</v>
      </c>
      <c r="C133" s="64">
        <v>35.799999999999997</v>
      </c>
      <c r="D133" s="64">
        <v>36.6</v>
      </c>
      <c r="E133" s="64">
        <v>95.5</v>
      </c>
      <c r="F133" s="64">
        <v>95.5</v>
      </c>
      <c r="G133" s="64">
        <v>107.8</v>
      </c>
      <c r="H133" s="64">
        <v>69.400000000000006</v>
      </c>
      <c r="I133" s="64"/>
      <c r="J133" s="64"/>
      <c r="K133" s="64">
        <v>38.4</v>
      </c>
      <c r="L133" s="64">
        <v>22172.5</v>
      </c>
      <c r="M133" s="64">
        <v>306.8</v>
      </c>
      <c r="N133" s="65">
        <v>1.4</v>
      </c>
    </row>
    <row r="134" spans="1:14">
      <c r="A134" s="6">
        <v>40603</v>
      </c>
      <c r="B134" s="64">
        <v>76</v>
      </c>
      <c r="C134" s="64">
        <v>33.799999999999997</v>
      </c>
      <c r="D134" s="64">
        <v>42.3</v>
      </c>
      <c r="E134" s="64">
        <v>84.4</v>
      </c>
      <c r="F134" s="64">
        <v>84.4</v>
      </c>
      <c r="G134" s="64">
        <v>120.4</v>
      </c>
      <c r="H134" s="64">
        <v>59.5</v>
      </c>
      <c r="I134" s="64"/>
      <c r="J134" s="64"/>
      <c r="K134" s="64">
        <v>61</v>
      </c>
      <c r="L134" s="64">
        <v>22268.799999999999</v>
      </c>
      <c r="M134" s="64">
        <v>304.7</v>
      </c>
      <c r="N134" s="65">
        <v>1.39</v>
      </c>
    </row>
    <row r="135" spans="1:14">
      <c r="A135" s="6">
        <v>40695</v>
      </c>
      <c r="B135" s="64">
        <v>76.3</v>
      </c>
      <c r="C135" s="64">
        <v>37.4</v>
      </c>
      <c r="D135" s="64">
        <v>39</v>
      </c>
      <c r="E135" s="64">
        <v>83</v>
      </c>
      <c r="F135" s="64">
        <v>83</v>
      </c>
      <c r="G135" s="64">
        <v>94</v>
      </c>
      <c r="H135" s="64">
        <v>54.7</v>
      </c>
      <c r="I135" s="64"/>
      <c r="J135" s="64"/>
      <c r="K135" s="64">
        <v>39.200000000000003</v>
      </c>
      <c r="L135" s="64">
        <v>22340</v>
      </c>
      <c r="M135" s="64">
        <v>308.3</v>
      </c>
      <c r="N135" s="65">
        <v>1.4</v>
      </c>
    </row>
    <row r="136" spans="1:14">
      <c r="A136" s="6">
        <v>40787</v>
      </c>
      <c r="B136" s="64">
        <v>76.2</v>
      </c>
      <c r="C136" s="64">
        <v>39.6</v>
      </c>
      <c r="D136" s="64">
        <v>36.6</v>
      </c>
      <c r="E136" s="64">
        <v>79.400000000000006</v>
      </c>
      <c r="F136" s="64">
        <v>79.400000000000006</v>
      </c>
      <c r="G136" s="64">
        <v>120.7</v>
      </c>
      <c r="H136" s="64">
        <v>65.400000000000006</v>
      </c>
      <c r="I136" s="64"/>
      <c r="J136" s="64"/>
      <c r="K136" s="64">
        <v>55.4</v>
      </c>
      <c r="L136" s="64">
        <v>22432</v>
      </c>
      <c r="M136" s="64">
        <v>327.60000000000002</v>
      </c>
      <c r="N136" s="65">
        <v>1.48</v>
      </c>
    </row>
    <row r="137" spans="1:14">
      <c r="A137" s="6">
        <v>40878</v>
      </c>
      <c r="B137" s="64">
        <v>74.2</v>
      </c>
      <c r="C137" s="64">
        <v>36.1</v>
      </c>
      <c r="D137" s="64">
        <v>38.200000000000003</v>
      </c>
      <c r="E137" s="64">
        <v>101.3</v>
      </c>
      <c r="F137" s="64">
        <v>101.3</v>
      </c>
      <c r="G137" s="64">
        <v>121.1</v>
      </c>
      <c r="H137" s="64">
        <v>71</v>
      </c>
      <c r="I137" s="64"/>
      <c r="J137" s="64"/>
      <c r="K137" s="64">
        <v>50.1</v>
      </c>
      <c r="L137" s="64">
        <v>22520.3</v>
      </c>
      <c r="M137" s="64">
        <v>347.8</v>
      </c>
      <c r="N137" s="65">
        <v>1.57</v>
      </c>
    </row>
    <row r="138" spans="1:14">
      <c r="A138" s="6">
        <v>40969</v>
      </c>
      <c r="B138" s="64">
        <v>78.099999999999994</v>
      </c>
      <c r="C138" s="64">
        <v>34.1</v>
      </c>
      <c r="D138" s="64">
        <v>44.1</v>
      </c>
      <c r="E138" s="64">
        <v>87.9</v>
      </c>
      <c r="F138" s="64">
        <v>87.9</v>
      </c>
      <c r="G138" s="64">
        <v>132.19999999999999</v>
      </c>
      <c r="H138" s="64">
        <v>59.5</v>
      </c>
      <c r="I138" s="64"/>
      <c r="J138" s="64"/>
      <c r="K138" s="64">
        <v>72.8</v>
      </c>
      <c r="L138" s="64">
        <v>22637.1</v>
      </c>
      <c r="M138" s="64">
        <v>368.4</v>
      </c>
      <c r="N138" s="65">
        <v>1.65</v>
      </c>
    </row>
    <row r="139" spans="1:14">
      <c r="A139" s="6">
        <v>41061</v>
      </c>
      <c r="B139" s="64">
        <v>77.5</v>
      </c>
      <c r="C139" s="64">
        <v>37.5</v>
      </c>
      <c r="D139" s="64">
        <v>40</v>
      </c>
      <c r="E139" s="64">
        <v>84.2</v>
      </c>
      <c r="F139" s="64">
        <v>84.2</v>
      </c>
      <c r="G139" s="64">
        <v>107.2</v>
      </c>
      <c r="H139" s="64">
        <v>56</v>
      </c>
      <c r="I139" s="64"/>
      <c r="J139" s="64"/>
      <c r="K139" s="64">
        <v>51.2</v>
      </c>
      <c r="L139" s="64">
        <v>22728.3</v>
      </c>
      <c r="M139" s="64">
        <v>388.2</v>
      </c>
      <c r="N139" s="65">
        <v>1.74</v>
      </c>
    </row>
    <row r="140" spans="1:14">
      <c r="A140" s="6">
        <v>41153</v>
      </c>
      <c r="B140" s="64">
        <v>78.7</v>
      </c>
      <c r="C140" s="64">
        <v>42.2</v>
      </c>
      <c r="D140" s="64">
        <v>36.5</v>
      </c>
      <c r="E140" s="64">
        <v>75.8</v>
      </c>
      <c r="F140" s="64">
        <v>75.8</v>
      </c>
      <c r="G140" s="64">
        <v>129.1</v>
      </c>
      <c r="H140" s="64">
        <v>66.099999999999994</v>
      </c>
      <c r="I140" s="64"/>
      <c r="J140" s="64"/>
      <c r="K140" s="64">
        <v>63</v>
      </c>
      <c r="L140" s="64">
        <v>22827.8</v>
      </c>
      <c r="M140" s="64">
        <v>395.8</v>
      </c>
      <c r="N140" s="65">
        <v>1.76</v>
      </c>
    </row>
    <row r="141" spans="1:14">
      <c r="A141" s="6">
        <v>41244</v>
      </c>
      <c r="B141" s="64">
        <v>77.900000000000006</v>
      </c>
      <c r="C141" s="64">
        <v>35.4</v>
      </c>
      <c r="D141" s="64">
        <v>42.5</v>
      </c>
      <c r="E141" s="64">
        <v>86.8</v>
      </c>
      <c r="F141" s="64">
        <v>86.8</v>
      </c>
      <c r="G141" s="64">
        <v>124.6</v>
      </c>
      <c r="H141" s="64">
        <v>74.2</v>
      </c>
      <c r="I141" s="64"/>
      <c r="J141" s="64"/>
      <c r="K141" s="64">
        <v>50.5</v>
      </c>
      <c r="L141" s="64">
        <v>22920.799999999999</v>
      </c>
      <c r="M141" s="64">
        <v>400.5</v>
      </c>
      <c r="N141" s="65">
        <v>1.78</v>
      </c>
    </row>
    <row r="142" spans="1:14">
      <c r="A142" s="6">
        <v>41334</v>
      </c>
      <c r="B142" s="64">
        <v>77.400000000000006</v>
      </c>
      <c r="C142" s="64">
        <v>34.200000000000003</v>
      </c>
      <c r="D142" s="64">
        <v>43.2</v>
      </c>
      <c r="E142" s="64">
        <v>89.2</v>
      </c>
      <c r="F142" s="64">
        <v>89.2</v>
      </c>
      <c r="G142" s="64">
        <v>139</v>
      </c>
      <c r="H142" s="64">
        <v>69.099999999999994</v>
      </c>
      <c r="I142" s="64"/>
      <c r="J142" s="64"/>
      <c r="K142" s="64">
        <v>70</v>
      </c>
      <c r="L142" s="64">
        <v>23033.9</v>
      </c>
      <c r="M142" s="64">
        <v>396.8</v>
      </c>
      <c r="N142" s="65">
        <v>1.75</v>
      </c>
    </row>
    <row r="143" spans="1:14">
      <c r="A143" s="6">
        <v>41426</v>
      </c>
      <c r="B143" s="64">
        <v>77.099999999999994</v>
      </c>
      <c r="C143" s="64">
        <v>37.299999999999997</v>
      </c>
      <c r="D143" s="64">
        <v>39.799999999999997</v>
      </c>
      <c r="E143" s="64">
        <v>88.8</v>
      </c>
      <c r="F143" s="64">
        <v>88.8</v>
      </c>
      <c r="G143" s="64">
        <v>104</v>
      </c>
      <c r="H143" s="64">
        <v>60.3</v>
      </c>
      <c r="I143" s="64"/>
      <c r="J143" s="64"/>
      <c r="K143" s="64">
        <v>43.7</v>
      </c>
      <c r="L143" s="64">
        <v>23117.4</v>
      </c>
      <c r="M143" s="64">
        <v>389.1</v>
      </c>
      <c r="N143" s="65">
        <v>1.71</v>
      </c>
    </row>
    <row r="144" spans="1:14">
      <c r="A144" s="6">
        <v>41518</v>
      </c>
      <c r="B144" s="64">
        <v>76.900000000000006</v>
      </c>
      <c r="C144" s="64">
        <v>39.700000000000003</v>
      </c>
      <c r="D144" s="64">
        <v>37.200000000000003</v>
      </c>
      <c r="E144" s="64">
        <v>77.7</v>
      </c>
      <c r="F144" s="64">
        <v>77.7</v>
      </c>
      <c r="G144" s="64">
        <v>130.19999999999999</v>
      </c>
      <c r="H144" s="64">
        <v>75.8</v>
      </c>
      <c r="I144" s="64"/>
      <c r="J144" s="64"/>
      <c r="K144" s="64">
        <v>54.4</v>
      </c>
      <c r="L144" s="64">
        <v>23208.9</v>
      </c>
      <c r="M144" s="64">
        <v>381.1</v>
      </c>
      <c r="N144" s="65">
        <v>1.67</v>
      </c>
    </row>
    <row r="145" spans="1:14">
      <c r="A145" s="6">
        <v>41609</v>
      </c>
      <c r="B145" s="64">
        <v>75.7</v>
      </c>
      <c r="C145" s="64">
        <v>37</v>
      </c>
      <c r="D145" s="64">
        <v>38.700000000000003</v>
      </c>
      <c r="E145" s="64">
        <v>99.3</v>
      </c>
      <c r="F145" s="64">
        <v>99.3</v>
      </c>
      <c r="G145" s="64">
        <v>116.8</v>
      </c>
      <c r="H145" s="64">
        <v>78.7</v>
      </c>
      <c r="I145" s="64"/>
      <c r="J145" s="64"/>
      <c r="K145" s="64">
        <v>38.1</v>
      </c>
      <c r="L145" s="64">
        <v>23285.7</v>
      </c>
      <c r="M145" s="64">
        <v>364.9</v>
      </c>
      <c r="N145" s="65">
        <v>1.59</v>
      </c>
    </row>
    <row r="146" spans="1:14">
      <c r="A146" s="6">
        <v>41699</v>
      </c>
      <c r="B146" s="64">
        <v>77.5</v>
      </c>
      <c r="C146" s="64">
        <v>34.9</v>
      </c>
      <c r="D146" s="64">
        <v>42.7</v>
      </c>
      <c r="E146" s="64">
        <v>88.2</v>
      </c>
      <c r="F146" s="64">
        <v>88.2</v>
      </c>
      <c r="G146" s="64">
        <v>130.5</v>
      </c>
      <c r="H146" s="64">
        <v>66.599999999999994</v>
      </c>
      <c r="I146" s="64"/>
      <c r="J146" s="64"/>
      <c r="K146" s="64">
        <v>63.9</v>
      </c>
      <c r="L146" s="64">
        <v>23392.3</v>
      </c>
      <c r="M146" s="64">
        <v>358.4</v>
      </c>
      <c r="N146" s="65">
        <v>1.56</v>
      </c>
    </row>
    <row r="147" spans="1:14">
      <c r="A147" s="6">
        <v>41791</v>
      </c>
      <c r="B147" s="64">
        <v>76.900000000000006</v>
      </c>
      <c r="C147" s="64">
        <v>38.5</v>
      </c>
      <c r="D147" s="64">
        <v>38.4</v>
      </c>
      <c r="E147" s="64">
        <v>83.8</v>
      </c>
      <c r="F147" s="64">
        <v>83.8</v>
      </c>
      <c r="G147" s="64">
        <v>96.7</v>
      </c>
      <c r="H147" s="64">
        <v>66.7</v>
      </c>
      <c r="I147" s="64"/>
      <c r="J147" s="64"/>
      <c r="K147" s="64">
        <v>30</v>
      </c>
      <c r="L147" s="64">
        <v>23460.7</v>
      </c>
      <c r="M147" s="64">
        <v>343.3</v>
      </c>
      <c r="N147" s="65">
        <v>1.49</v>
      </c>
    </row>
    <row r="148" spans="1:14">
      <c r="A148" s="6">
        <v>41883</v>
      </c>
      <c r="B148" s="64">
        <v>79</v>
      </c>
      <c r="C148" s="64">
        <v>43.1</v>
      </c>
      <c r="D148" s="64">
        <v>35.9</v>
      </c>
      <c r="E148" s="64">
        <v>70.8</v>
      </c>
      <c r="F148" s="64">
        <v>70.8</v>
      </c>
      <c r="G148" s="64">
        <v>125.5</v>
      </c>
      <c r="H148" s="64">
        <v>76</v>
      </c>
      <c r="I148" s="64"/>
      <c r="J148" s="64"/>
      <c r="K148" s="64">
        <v>49.5</v>
      </c>
      <c r="L148" s="64">
        <v>23546.1</v>
      </c>
      <c r="M148" s="64">
        <v>337.2</v>
      </c>
      <c r="N148" s="65">
        <v>1.45</v>
      </c>
    </row>
    <row r="149" spans="1:14">
      <c r="A149" s="6">
        <v>41974</v>
      </c>
      <c r="B149" s="64">
        <v>77.099999999999994</v>
      </c>
      <c r="C149" s="64">
        <v>37.5</v>
      </c>
      <c r="D149" s="64">
        <v>39.5</v>
      </c>
      <c r="E149" s="64">
        <v>92.5</v>
      </c>
      <c r="F149" s="64">
        <v>92.5</v>
      </c>
      <c r="G149" s="64">
        <v>114.7</v>
      </c>
      <c r="H149" s="64">
        <v>79.3</v>
      </c>
      <c r="I149" s="64"/>
      <c r="J149" s="64"/>
      <c r="K149" s="64">
        <v>35.4</v>
      </c>
      <c r="L149" s="64">
        <v>23621.1</v>
      </c>
      <c r="M149" s="64">
        <v>335.3</v>
      </c>
      <c r="N149" s="65">
        <v>1.44</v>
      </c>
    </row>
    <row r="150" spans="1:14">
      <c r="A150" s="6">
        <v>42064</v>
      </c>
      <c r="B150" s="64">
        <v>76.2</v>
      </c>
      <c r="C150" s="64">
        <v>35.799999999999997</v>
      </c>
      <c r="D150" s="64">
        <v>40.4</v>
      </c>
      <c r="E150" s="64">
        <v>86</v>
      </c>
      <c r="F150" s="64">
        <v>86</v>
      </c>
      <c r="G150" s="64">
        <v>131.5</v>
      </c>
      <c r="H150" s="64">
        <v>69.5</v>
      </c>
      <c r="I150" s="64"/>
      <c r="J150" s="64"/>
      <c r="K150" s="64">
        <v>61.9</v>
      </c>
      <c r="L150" s="64">
        <v>23723.4</v>
      </c>
      <c r="M150" s="64">
        <v>331.1</v>
      </c>
      <c r="N150" s="65">
        <v>1.42</v>
      </c>
    </row>
    <row r="151" spans="1:14">
      <c r="A151" s="6">
        <v>42156</v>
      </c>
      <c r="B151" s="64">
        <v>75.400000000000006</v>
      </c>
      <c r="C151" s="64">
        <v>39.5</v>
      </c>
      <c r="D151" s="64">
        <v>35.9</v>
      </c>
      <c r="E151" s="64">
        <v>89.7</v>
      </c>
      <c r="F151" s="64">
        <v>89.7</v>
      </c>
      <c r="G151" s="64">
        <v>100.3</v>
      </c>
      <c r="H151" s="64">
        <v>68.5</v>
      </c>
      <c r="I151" s="64"/>
      <c r="J151" s="64"/>
      <c r="K151" s="64">
        <v>31.8</v>
      </c>
      <c r="L151" s="64">
        <v>23791.1</v>
      </c>
      <c r="M151" s="64">
        <v>330.4</v>
      </c>
      <c r="N151" s="65">
        <v>1.41</v>
      </c>
    </row>
    <row r="152" spans="1:14">
      <c r="A152" s="6">
        <v>42248</v>
      </c>
      <c r="B152" s="64">
        <v>76.2</v>
      </c>
      <c r="C152" s="64">
        <v>44.1</v>
      </c>
      <c r="D152" s="64">
        <v>32.1</v>
      </c>
      <c r="E152" s="64">
        <v>77.099999999999994</v>
      </c>
      <c r="F152" s="64">
        <v>77.099999999999994</v>
      </c>
      <c r="G152" s="64">
        <v>129.19999999999999</v>
      </c>
      <c r="H152" s="64">
        <v>80.8</v>
      </c>
      <c r="I152" s="64"/>
      <c r="J152" s="64"/>
      <c r="K152" s="64">
        <v>48.3</v>
      </c>
      <c r="L152" s="64">
        <v>23871.5</v>
      </c>
      <c r="M152" s="64">
        <v>325.39999999999998</v>
      </c>
      <c r="N152" s="65">
        <v>1.38</v>
      </c>
    </row>
    <row r="153" spans="1:14">
      <c r="A153" s="6">
        <v>42339</v>
      </c>
      <c r="B153" s="64">
        <v>74.599999999999994</v>
      </c>
      <c r="C153" s="64">
        <v>39.799999999999997</v>
      </c>
      <c r="D153" s="64">
        <v>34.799999999999997</v>
      </c>
      <c r="E153" s="64">
        <v>97.4</v>
      </c>
      <c r="F153" s="64">
        <v>97.4</v>
      </c>
      <c r="G153" s="64">
        <v>118.7</v>
      </c>
      <c r="H153" s="64">
        <v>82.3</v>
      </c>
      <c r="I153" s="64"/>
      <c r="J153" s="64"/>
      <c r="K153" s="64">
        <v>36.4</v>
      </c>
      <c r="L153" s="64">
        <v>23942.799999999999</v>
      </c>
      <c r="M153" s="64">
        <v>321.7</v>
      </c>
      <c r="N153" s="65">
        <v>1.36</v>
      </c>
    </row>
    <row r="154" spans="1:14">
      <c r="A154" s="6">
        <v>42430</v>
      </c>
      <c r="B154" s="64">
        <v>78</v>
      </c>
      <c r="C154" s="64">
        <v>36.6</v>
      </c>
      <c r="D154" s="64">
        <v>41.5</v>
      </c>
      <c r="E154" s="64">
        <v>93.3</v>
      </c>
      <c r="F154" s="64">
        <v>93.3</v>
      </c>
      <c r="G154" s="64">
        <v>132.9</v>
      </c>
      <c r="H154" s="64">
        <v>66.900000000000006</v>
      </c>
      <c r="I154" s="64"/>
      <c r="J154" s="64"/>
      <c r="K154" s="64">
        <v>66</v>
      </c>
      <c r="L154" s="64">
        <v>24050.3</v>
      </c>
      <c r="M154" s="64">
        <v>326.89999999999998</v>
      </c>
      <c r="N154" s="65">
        <v>1.38</v>
      </c>
    </row>
    <row r="155" spans="1:14">
      <c r="A155" s="6">
        <v>42522</v>
      </c>
      <c r="B155" s="64">
        <v>86.7</v>
      </c>
      <c r="C155" s="64">
        <v>39.4</v>
      </c>
      <c r="D155" s="64">
        <v>47.2</v>
      </c>
      <c r="E155" s="64">
        <v>98.6</v>
      </c>
      <c r="F155" s="64">
        <v>98.6</v>
      </c>
      <c r="G155" s="64">
        <v>101.9</v>
      </c>
      <c r="H155" s="64">
        <v>70.5</v>
      </c>
      <c r="I155" s="64"/>
      <c r="J155" s="64"/>
      <c r="K155" s="64">
        <v>31.4</v>
      </c>
      <c r="L155" s="64">
        <v>24128.9</v>
      </c>
      <c r="M155" s="64">
        <v>337.8</v>
      </c>
      <c r="N155" s="65">
        <v>1.42</v>
      </c>
    </row>
    <row r="156" spans="1:14">
      <c r="A156" s="6">
        <v>42614</v>
      </c>
      <c r="B156" s="64">
        <v>75.7</v>
      </c>
      <c r="C156" s="64">
        <v>43.8</v>
      </c>
      <c r="D156" s="64">
        <v>31.9</v>
      </c>
      <c r="E156" s="64">
        <v>78.400000000000006</v>
      </c>
      <c r="F156" s="64">
        <v>78.400000000000006</v>
      </c>
      <c r="G156" s="64">
        <v>139.30000000000001</v>
      </c>
      <c r="H156" s="64">
        <v>79.900000000000006</v>
      </c>
      <c r="I156" s="64"/>
      <c r="J156" s="64"/>
      <c r="K156" s="64">
        <v>59.4</v>
      </c>
      <c r="L156" s="64">
        <v>24220.2</v>
      </c>
      <c r="M156" s="64">
        <v>348.7</v>
      </c>
      <c r="N156" s="65">
        <v>1.46</v>
      </c>
    </row>
  </sheetData>
  <hyperlinks>
    <hyperlink ref="A2" location="Contents!A1" display="(return to contents)"/>
  </hyperlink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4"/>
  <sheetViews>
    <sheetView zoomScale="87" workbookViewId="0">
      <pane ySplit="8" topLeftCell="A9" activePane="bottomLeft" state="frozen"/>
      <selection pane="bottomLeft" activeCell="A2" sqref="A2"/>
    </sheetView>
  </sheetViews>
  <sheetFormatPr defaultColWidth="11.3046875" defaultRowHeight="15"/>
  <cols>
    <col min="1" max="1" width="41" style="131" customWidth="1"/>
    <col min="2" max="10" width="17.3046875" style="131" customWidth="1"/>
    <col min="11" max="11" width="11.3046875" style="131" customWidth="1"/>
    <col min="12" max="256" width="11.3046875" style="131"/>
    <col min="257" max="257" width="41" style="144" customWidth="1"/>
    <col min="258" max="266" width="17.3046875" style="144" customWidth="1"/>
    <col min="267" max="267" width="11.3046875" style="144" customWidth="1"/>
    <col min="268" max="512" width="11.3046875" style="144"/>
    <col min="513" max="513" width="41" style="144" customWidth="1"/>
    <col min="514" max="522" width="17.3046875" style="144" customWidth="1"/>
    <col min="523" max="523" width="11.3046875" style="144" customWidth="1"/>
    <col min="524" max="768" width="11.3046875" style="144"/>
    <col min="769" max="769" width="41" style="144" customWidth="1"/>
    <col min="770" max="778" width="17.3046875" style="144" customWidth="1"/>
    <col min="779" max="779" width="11.3046875" style="144" customWidth="1"/>
    <col min="780" max="1024" width="11.3046875" style="144"/>
    <col min="1025" max="1025" width="41" style="144" customWidth="1"/>
    <col min="1026" max="1034" width="17.3046875" style="144" customWidth="1"/>
    <col min="1035" max="1035" width="11.3046875" style="144" customWidth="1"/>
    <col min="1036" max="1280" width="11.3046875" style="144"/>
    <col min="1281" max="1281" width="41" style="144" customWidth="1"/>
    <col min="1282" max="1290" width="17.3046875" style="144" customWidth="1"/>
    <col min="1291" max="1291" width="11.3046875" style="144" customWidth="1"/>
    <col min="1292" max="1536" width="11.3046875" style="144"/>
    <col min="1537" max="1537" width="41" style="144" customWidth="1"/>
    <col min="1538" max="1546" width="17.3046875" style="144" customWidth="1"/>
    <col min="1547" max="1547" width="11.3046875" style="144" customWidth="1"/>
    <col min="1548" max="1792" width="11.3046875" style="144"/>
    <col min="1793" max="1793" width="41" style="144" customWidth="1"/>
    <col min="1794" max="1802" width="17.3046875" style="144" customWidth="1"/>
    <col min="1803" max="1803" width="11.3046875" style="144" customWidth="1"/>
    <col min="1804" max="2048" width="11.3046875" style="144"/>
    <col min="2049" max="2049" width="41" style="144" customWidth="1"/>
    <col min="2050" max="2058" width="17.3046875" style="144" customWidth="1"/>
    <col min="2059" max="2059" width="11.3046875" style="144" customWidth="1"/>
    <col min="2060" max="2304" width="11.3046875" style="144"/>
    <col min="2305" max="2305" width="41" style="144" customWidth="1"/>
    <col min="2306" max="2314" width="17.3046875" style="144" customWidth="1"/>
    <col min="2315" max="2315" width="11.3046875" style="144" customWidth="1"/>
    <col min="2316" max="2560" width="11.3046875" style="144"/>
    <col min="2561" max="2561" width="41" style="144" customWidth="1"/>
    <col min="2562" max="2570" width="17.3046875" style="144" customWidth="1"/>
    <col min="2571" max="2571" width="11.3046875" style="144" customWidth="1"/>
    <col min="2572" max="2816" width="11.3046875" style="144"/>
    <col min="2817" max="2817" width="41" style="144" customWidth="1"/>
    <col min="2818" max="2826" width="17.3046875" style="144" customWidth="1"/>
    <col min="2827" max="2827" width="11.3046875" style="144" customWidth="1"/>
    <col min="2828" max="3072" width="11.3046875" style="144"/>
    <col min="3073" max="3073" width="41" style="144" customWidth="1"/>
    <col min="3074" max="3082" width="17.3046875" style="144" customWidth="1"/>
    <col min="3083" max="3083" width="11.3046875" style="144" customWidth="1"/>
    <col min="3084" max="3328" width="11.3046875" style="144"/>
    <col min="3329" max="3329" width="41" style="144" customWidth="1"/>
    <col min="3330" max="3338" width="17.3046875" style="144" customWidth="1"/>
    <col min="3339" max="3339" width="11.3046875" style="144" customWidth="1"/>
    <col min="3340" max="3584" width="11.3046875" style="144"/>
    <col min="3585" max="3585" width="41" style="144" customWidth="1"/>
    <col min="3586" max="3594" width="17.3046875" style="144" customWidth="1"/>
    <col min="3595" max="3595" width="11.3046875" style="144" customWidth="1"/>
    <col min="3596" max="3840" width="11.3046875" style="144"/>
    <col min="3841" max="3841" width="41" style="144" customWidth="1"/>
    <col min="3842" max="3850" width="17.3046875" style="144" customWidth="1"/>
    <col min="3851" max="3851" width="11.3046875" style="144" customWidth="1"/>
    <col min="3852" max="4096" width="11.3046875" style="144"/>
    <col min="4097" max="4097" width="41" style="144" customWidth="1"/>
    <col min="4098" max="4106" width="17.3046875" style="144" customWidth="1"/>
    <col min="4107" max="4107" width="11.3046875" style="144" customWidth="1"/>
    <col min="4108" max="4352" width="11.3046875" style="144"/>
    <col min="4353" max="4353" width="41" style="144" customWidth="1"/>
    <col min="4354" max="4362" width="17.3046875" style="144" customWidth="1"/>
    <col min="4363" max="4363" width="11.3046875" style="144" customWidth="1"/>
    <col min="4364" max="4608" width="11.3046875" style="144"/>
    <col min="4609" max="4609" width="41" style="144" customWidth="1"/>
    <col min="4610" max="4618" width="17.3046875" style="144" customWidth="1"/>
    <col min="4619" max="4619" width="11.3046875" style="144" customWidth="1"/>
    <col min="4620" max="4864" width="11.3046875" style="144"/>
    <col min="4865" max="4865" width="41" style="144" customWidth="1"/>
    <col min="4866" max="4874" width="17.3046875" style="144" customWidth="1"/>
    <col min="4875" max="4875" width="11.3046875" style="144" customWidth="1"/>
    <col min="4876" max="5120" width="11.3046875" style="144"/>
    <col min="5121" max="5121" width="41" style="144" customWidth="1"/>
    <col min="5122" max="5130" width="17.3046875" style="144" customWidth="1"/>
    <col min="5131" max="5131" width="11.3046875" style="144" customWidth="1"/>
    <col min="5132" max="5376" width="11.3046875" style="144"/>
    <col min="5377" max="5377" width="41" style="144" customWidth="1"/>
    <col min="5378" max="5386" width="17.3046875" style="144" customWidth="1"/>
    <col min="5387" max="5387" width="11.3046875" style="144" customWidth="1"/>
    <col min="5388" max="5632" width="11.3046875" style="144"/>
    <col min="5633" max="5633" width="41" style="144" customWidth="1"/>
    <col min="5634" max="5642" width="17.3046875" style="144" customWidth="1"/>
    <col min="5643" max="5643" width="11.3046875" style="144" customWidth="1"/>
    <col min="5644" max="5888" width="11.3046875" style="144"/>
    <col min="5889" max="5889" width="41" style="144" customWidth="1"/>
    <col min="5890" max="5898" width="17.3046875" style="144" customWidth="1"/>
    <col min="5899" max="5899" width="11.3046875" style="144" customWidth="1"/>
    <col min="5900" max="6144" width="11.3046875" style="144"/>
    <col min="6145" max="6145" width="41" style="144" customWidth="1"/>
    <col min="6146" max="6154" width="17.3046875" style="144" customWidth="1"/>
    <col min="6155" max="6155" width="11.3046875" style="144" customWidth="1"/>
    <col min="6156" max="6400" width="11.3046875" style="144"/>
    <col min="6401" max="6401" width="41" style="144" customWidth="1"/>
    <col min="6402" max="6410" width="17.3046875" style="144" customWidth="1"/>
    <col min="6411" max="6411" width="11.3046875" style="144" customWidth="1"/>
    <col min="6412" max="6656" width="11.3046875" style="144"/>
    <col min="6657" max="6657" width="41" style="144" customWidth="1"/>
    <col min="6658" max="6666" width="17.3046875" style="144" customWidth="1"/>
    <col min="6667" max="6667" width="11.3046875" style="144" customWidth="1"/>
    <col min="6668" max="6912" width="11.3046875" style="144"/>
    <col min="6913" max="6913" width="41" style="144" customWidth="1"/>
    <col min="6914" max="6922" width="17.3046875" style="144" customWidth="1"/>
    <col min="6923" max="6923" width="11.3046875" style="144" customWidth="1"/>
    <col min="6924" max="7168" width="11.3046875" style="144"/>
    <col min="7169" max="7169" width="41" style="144" customWidth="1"/>
    <col min="7170" max="7178" width="17.3046875" style="144" customWidth="1"/>
    <col min="7179" max="7179" width="11.3046875" style="144" customWidth="1"/>
    <col min="7180" max="7424" width="11.3046875" style="144"/>
    <col min="7425" max="7425" width="41" style="144" customWidth="1"/>
    <col min="7426" max="7434" width="17.3046875" style="144" customWidth="1"/>
    <col min="7435" max="7435" width="11.3046875" style="144" customWidth="1"/>
    <col min="7436" max="7680" width="11.3046875" style="144"/>
    <col min="7681" max="7681" width="41" style="144" customWidth="1"/>
    <col min="7682" max="7690" width="17.3046875" style="144" customWidth="1"/>
    <col min="7691" max="7691" width="11.3046875" style="144" customWidth="1"/>
    <col min="7692" max="7936" width="11.3046875" style="144"/>
    <col min="7937" max="7937" width="41" style="144" customWidth="1"/>
    <col min="7938" max="7946" width="17.3046875" style="144" customWidth="1"/>
    <col min="7947" max="7947" width="11.3046875" style="144" customWidth="1"/>
    <col min="7948" max="8192" width="11.3046875" style="144"/>
    <col min="8193" max="8193" width="41" style="144" customWidth="1"/>
    <col min="8194" max="8202" width="17.3046875" style="144" customWidth="1"/>
    <col min="8203" max="8203" width="11.3046875" style="144" customWidth="1"/>
    <col min="8204" max="8448" width="11.3046875" style="144"/>
    <col min="8449" max="8449" width="41" style="144" customWidth="1"/>
    <col min="8450" max="8458" width="17.3046875" style="144" customWidth="1"/>
    <col min="8459" max="8459" width="11.3046875" style="144" customWidth="1"/>
    <col min="8460" max="8704" width="11.3046875" style="144"/>
    <col min="8705" max="8705" width="41" style="144" customWidth="1"/>
    <col min="8706" max="8714" width="17.3046875" style="144" customWidth="1"/>
    <col min="8715" max="8715" width="11.3046875" style="144" customWidth="1"/>
    <col min="8716" max="8960" width="11.3046875" style="144"/>
    <col min="8961" max="8961" width="41" style="144" customWidth="1"/>
    <col min="8962" max="8970" width="17.3046875" style="144" customWidth="1"/>
    <col min="8971" max="8971" width="11.3046875" style="144" customWidth="1"/>
    <col min="8972" max="9216" width="11.3046875" style="144"/>
    <col min="9217" max="9217" width="41" style="144" customWidth="1"/>
    <col min="9218" max="9226" width="17.3046875" style="144" customWidth="1"/>
    <col min="9227" max="9227" width="11.3046875" style="144" customWidth="1"/>
    <col min="9228" max="9472" width="11.3046875" style="144"/>
    <col min="9473" max="9473" width="41" style="144" customWidth="1"/>
    <col min="9474" max="9482" width="17.3046875" style="144" customWidth="1"/>
    <col min="9483" max="9483" width="11.3046875" style="144" customWidth="1"/>
    <col min="9484" max="9728" width="11.3046875" style="144"/>
    <col min="9729" max="9729" width="41" style="144" customWidth="1"/>
    <col min="9730" max="9738" width="17.3046875" style="144" customWidth="1"/>
    <col min="9739" max="9739" width="11.3046875" style="144" customWidth="1"/>
    <col min="9740" max="9984" width="11.3046875" style="144"/>
    <col min="9985" max="9985" width="41" style="144" customWidth="1"/>
    <col min="9986" max="9994" width="17.3046875" style="144" customWidth="1"/>
    <col min="9995" max="9995" width="11.3046875" style="144" customWidth="1"/>
    <col min="9996" max="10240" width="11.3046875" style="144"/>
    <col min="10241" max="10241" width="41" style="144" customWidth="1"/>
    <col min="10242" max="10250" width="17.3046875" style="144" customWidth="1"/>
    <col min="10251" max="10251" width="11.3046875" style="144" customWidth="1"/>
    <col min="10252" max="10496" width="11.3046875" style="144"/>
    <col min="10497" max="10497" width="41" style="144" customWidth="1"/>
    <col min="10498" max="10506" width="17.3046875" style="144" customWidth="1"/>
    <col min="10507" max="10507" width="11.3046875" style="144" customWidth="1"/>
    <col min="10508" max="10752" width="11.3046875" style="144"/>
    <col min="10753" max="10753" width="41" style="144" customWidth="1"/>
    <col min="10754" max="10762" width="17.3046875" style="144" customWidth="1"/>
    <col min="10763" max="10763" width="11.3046875" style="144" customWidth="1"/>
    <col min="10764" max="11008" width="11.3046875" style="144"/>
    <col min="11009" max="11009" width="41" style="144" customWidth="1"/>
    <col min="11010" max="11018" width="17.3046875" style="144" customWidth="1"/>
    <col min="11019" max="11019" width="11.3046875" style="144" customWidth="1"/>
    <col min="11020" max="11264" width="11.3046875" style="144"/>
    <col min="11265" max="11265" width="41" style="144" customWidth="1"/>
    <col min="11266" max="11274" width="17.3046875" style="144" customWidth="1"/>
    <col min="11275" max="11275" width="11.3046875" style="144" customWidth="1"/>
    <col min="11276" max="11520" width="11.3046875" style="144"/>
    <col min="11521" max="11521" width="41" style="144" customWidth="1"/>
    <col min="11522" max="11530" width="17.3046875" style="144" customWidth="1"/>
    <col min="11531" max="11531" width="11.3046875" style="144" customWidth="1"/>
    <col min="11532" max="11776" width="11.3046875" style="144"/>
    <col min="11777" max="11777" width="41" style="144" customWidth="1"/>
    <col min="11778" max="11786" width="17.3046875" style="144" customWidth="1"/>
    <col min="11787" max="11787" width="11.3046875" style="144" customWidth="1"/>
    <col min="11788" max="12032" width="11.3046875" style="144"/>
    <col min="12033" max="12033" width="41" style="144" customWidth="1"/>
    <col min="12034" max="12042" width="17.3046875" style="144" customWidth="1"/>
    <col min="12043" max="12043" width="11.3046875" style="144" customWidth="1"/>
    <col min="12044" max="12288" width="11.3046875" style="144"/>
    <col min="12289" max="12289" width="41" style="144" customWidth="1"/>
    <col min="12290" max="12298" width="17.3046875" style="144" customWidth="1"/>
    <col min="12299" max="12299" width="11.3046875" style="144" customWidth="1"/>
    <col min="12300" max="12544" width="11.3046875" style="144"/>
    <col min="12545" max="12545" width="41" style="144" customWidth="1"/>
    <col min="12546" max="12554" width="17.3046875" style="144" customWidth="1"/>
    <col min="12555" max="12555" width="11.3046875" style="144" customWidth="1"/>
    <col min="12556" max="12800" width="11.3046875" style="144"/>
    <col min="12801" max="12801" width="41" style="144" customWidth="1"/>
    <col min="12802" max="12810" width="17.3046875" style="144" customWidth="1"/>
    <col min="12811" max="12811" width="11.3046875" style="144" customWidth="1"/>
    <col min="12812" max="13056" width="11.3046875" style="144"/>
    <col min="13057" max="13057" width="41" style="144" customWidth="1"/>
    <col min="13058" max="13066" width="17.3046875" style="144" customWidth="1"/>
    <col min="13067" max="13067" width="11.3046875" style="144" customWidth="1"/>
    <col min="13068" max="13312" width="11.3046875" style="144"/>
    <col min="13313" max="13313" width="41" style="144" customWidth="1"/>
    <col min="13314" max="13322" width="17.3046875" style="144" customWidth="1"/>
    <col min="13323" max="13323" width="11.3046875" style="144" customWidth="1"/>
    <col min="13324" max="13568" width="11.3046875" style="144"/>
    <col min="13569" max="13569" width="41" style="144" customWidth="1"/>
    <col min="13570" max="13578" width="17.3046875" style="144" customWidth="1"/>
    <col min="13579" max="13579" width="11.3046875" style="144" customWidth="1"/>
    <col min="13580" max="13824" width="11.3046875" style="144"/>
    <col min="13825" max="13825" width="41" style="144" customWidth="1"/>
    <col min="13826" max="13834" width="17.3046875" style="144" customWidth="1"/>
    <col min="13835" max="13835" width="11.3046875" style="144" customWidth="1"/>
    <col min="13836" max="14080" width="11.3046875" style="144"/>
    <col min="14081" max="14081" width="41" style="144" customWidth="1"/>
    <col min="14082" max="14090" width="17.3046875" style="144" customWidth="1"/>
    <col min="14091" max="14091" width="11.3046875" style="144" customWidth="1"/>
    <col min="14092" max="14336" width="11.3046875" style="144"/>
    <col min="14337" max="14337" width="41" style="144" customWidth="1"/>
    <col min="14338" max="14346" width="17.3046875" style="144" customWidth="1"/>
    <col min="14347" max="14347" width="11.3046875" style="144" customWidth="1"/>
    <col min="14348" max="14592" width="11.3046875" style="144"/>
    <col min="14593" max="14593" width="41" style="144" customWidth="1"/>
    <col min="14594" max="14602" width="17.3046875" style="144" customWidth="1"/>
    <col min="14603" max="14603" width="11.3046875" style="144" customWidth="1"/>
    <col min="14604" max="14848" width="11.3046875" style="144"/>
    <col min="14849" max="14849" width="41" style="144" customWidth="1"/>
    <col min="14850" max="14858" width="17.3046875" style="144" customWidth="1"/>
    <col min="14859" max="14859" width="11.3046875" style="144" customWidth="1"/>
    <col min="14860" max="15104" width="11.3046875" style="144"/>
    <col min="15105" max="15105" width="41" style="144" customWidth="1"/>
    <col min="15106" max="15114" width="17.3046875" style="144" customWidth="1"/>
    <col min="15115" max="15115" width="11.3046875" style="144" customWidth="1"/>
    <col min="15116" max="15360" width="11.3046875" style="144"/>
    <col min="15361" max="15361" width="41" style="144" customWidth="1"/>
    <col min="15362" max="15370" width="17.3046875" style="144" customWidth="1"/>
    <col min="15371" max="15371" width="11.3046875" style="144" customWidth="1"/>
    <col min="15372" max="15616" width="11.3046875" style="144"/>
    <col min="15617" max="15617" width="41" style="144" customWidth="1"/>
    <col min="15618" max="15626" width="17.3046875" style="144" customWidth="1"/>
    <col min="15627" max="15627" width="11.3046875" style="144" customWidth="1"/>
    <col min="15628" max="15872" width="11.3046875" style="144"/>
    <col min="15873" max="15873" width="41" style="144" customWidth="1"/>
    <col min="15874" max="15882" width="17.3046875" style="144" customWidth="1"/>
    <col min="15883" max="15883" width="11.3046875" style="144" customWidth="1"/>
    <col min="15884" max="16128" width="11.3046875" style="144"/>
    <col min="16129" max="16129" width="41" style="144" customWidth="1"/>
    <col min="16130" max="16138" width="17.3046875" style="144" customWidth="1"/>
    <col min="16139" max="16139" width="11.3046875" style="144" customWidth="1"/>
    <col min="16140" max="16384" width="11.3046875" style="144"/>
  </cols>
  <sheetData>
    <row r="1" spans="1:254" ht="43.95" customHeight="1">
      <c r="A1" s="129" t="s">
        <v>295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c r="DC1" s="130"/>
      <c r="DD1" s="130"/>
      <c r="DE1" s="130"/>
      <c r="DF1" s="130"/>
      <c r="DG1" s="130"/>
      <c r="DH1" s="130"/>
      <c r="DI1" s="130"/>
      <c r="DJ1" s="130"/>
      <c r="DK1" s="130"/>
      <c r="DL1" s="130"/>
      <c r="DM1" s="130"/>
      <c r="DN1" s="130"/>
      <c r="DO1" s="130"/>
      <c r="DP1" s="130"/>
      <c r="DQ1" s="130"/>
      <c r="DR1" s="130"/>
      <c r="DS1" s="130"/>
      <c r="DT1" s="130"/>
      <c r="DU1" s="130"/>
      <c r="DV1" s="130"/>
      <c r="DW1" s="130"/>
      <c r="DX1" s="130"/>
      <c r="DY1" s="130"/>
      <c r="DZ1" s="130"/>
      <c r="EA1" s="130"/>
      <c r="EB1" s="130"/>
      <c r="EC1" s="130"/>
      <c r="ED1" s="130"/>
      <c r="EE1" s="130"/>
      <c r="EF1" s="130"/>
      <c r="EG1" s="130"/>
      <c r="EH1" s="130"/>
      <c r="EI1" s="130"/>
      <c r="EJ1" s="130"/>
      <c r="EK1" s="130"/>
      <c r="EL1" s="130"/>
      <c r="EM1" s="130"/>
      <c r="EN1" s="130"/>
      <c r="EO1" s="130"/>
      <c r="EP1" s="130"/>
      <c r="EQ1" s="130"/>
      <c r="ER1" s="130"/>
      <c r="ES1" s="130"/>
      <c r="ET1" s="130"/>
      <c r="EU1" s="130"/>
      <c r="EV1" s="130"/>
      <c r="EW1" s="130"/>
      <c r="EX1" s="130"/>
      <c r="EY1" s="130"/>
      <c r="EZ1" s="130"/>
      <c r="FA1" s="130"/>
      <c r="FB1" s="130"/>
      <c r="FC1" s="130"/>
      <c r="FD1" s="130"/>
      <c r="FE1" s="130"/>
      <c r="FF1" s="130"/>
      <c r="FG1" s="130"/>
      <c r="FH1" s="130"/>
      <c r="FI1" s="130"/>
      <c r="FJ1" s="130"/>
      <c r="FK1" s="130"/>
      <c r="FL1" s="130"/>
      <c r="FM1" s="130"/>
      <c r="FN1" s="130"/>
      <c r="FO1" s="130"/>
      <c r="FP1" s="130"/>
      <c r="FQ1" s="130"/>
      <c r="FR1" s="130"/>
      <c r="FS1" s="130"/>
      <c r="FT1" s="130"/>
      <c r="FU1" s="130"/>
      <c r="FV1" s="130"/>
      <c r="FW1" s="130"/>
      <c r="FX1" s="130"/>
      <c r="FY1" s="130"/>
      <c r="FZ1" s="130"/>
      <c r="GA1" s="130"/>
      <c r="GB1" s="130"/>
      <c r="GC1" s="130"/>
      <c r="GD1" s="130"/>
      <c r="GE1" s="130"/>
      <c r="GF1" s="130"/>
      <c r="GG1" s="130"/>
      <c r="GH1" s="130"/>
      <c r="GI1" s="130"/>
      <c r="GJ1" s="130"/>
      <c r="GK1" s="130"/>
      <c r="GL1" s="130"/>
      <c r="GM1" s="130"/>
      <c r="GN1" s="130"/>
      <c r="GO1" s="130"/>
      <c r="GP1" s="130"/>
      <c r="GQ1" s="130"/>
      <c r="GR1" s="130"/>
      <c r="GS1" s="130"/>
      <c r="GT1" s="130"/>
      <c r="GU1" s="130"/>
      <c r="GV1" s="130"/>
      <c r="GW1" s="130"/>
      <c r="GX1" s="130"/>
      <c r="GY1" s="130"/>
      <c r="GZ1" s="130"/>
      <c r="HA1" s="130"/>
      <c r="HB1" s="130"/>
      <c r="HC1" s="130"/>
      <c r="HD1" s="130"/>
      <c r="HE1" s="130"/>
      <c r="HF1" s="130"/>
      <c r="HG1" s="130"/>
      <c r="HH1" s="130"/>
      <c r="HI1" s="130"/>
      <c r="HJ1" s="130"/>
      <c r="HK1" s="130"/>
      <c r="HL1" s="130"/>
      <c r="HM1" s="130"/>
      <c r="HN1" s="130"/>
      <c r="HO1" s="130"/>
      <c r="HP1" s="130"/>
      <c r="HQ1" s="130"/>
      <c r="HR1" s="130"/>
      <c r="HS1" s="130"/>
      <c r="HT1" s="130"/>
      <c r="HU1" s="130"/>
      <c r="HV1" s="130"/>
      <c r="HW1" s="130"/>
      <c r="HX1" s="130"/>
      <c r="HY1" s="130"/>
      <c r="HZ1" s="130"/>
      <c r="IA1" s="130"/>
      <c r="IB1" s="130"/>
      <c r="IC1" s="130"/>
      <c r="ID1" s="130"/>
      <c r="IE1" s="130"/>
      <c r="IF1" s="130"/>
      <c r="IG1" s="130"/>
      <c r="IH1" s="130"/>
      <c r="II1" s="130"/>
      <c r="IJ1" s="130"/>
      <c r="IK1" s="130"/>
      <c r="IL1" s="130"/>
      <c r="IM1" s="130"/>
      <c r="IN1" s="130"/>
      <c r="IO1" s="130"/>
      <c r="IP1" s="130"/>
      <c r="IQ1" s="130"/>
      <c r="IR1" s="130"/>
      <c r="IS1" s="130"/>
      <c r="IT1" s="130"/>
    </row>
    <row r="2" spans="1:254" s="161" customFormat="1" ht="14.6">
      <c r="A2" s="9" t="s">
        <v>820</v>
      </c>
    </row>
    <row r="3" spans="1:254" ht="15.45">
      <c r="A3" s="132" t="s">
        <v>296</v>
      </c>
    </row>
    <row r="4" spans="1:254">
      <c r="A4" s="133" t="s">
        <v>297</v>
      </c>
    </row>
    <row r="5" spans="1:254" ht="21" customHeight="1">
      <c r="A5" s="134" t="s">
        <v>298</v>
      </c>
    </row>
    <row r="6" spans="1:254" ht="28.2" customHeight="1">
      <c r="A6" s="135"/>
      <c r="B6" s="136" t="s">
        <v>299</v>
      </c>
      <c r="C6" s="137"/>
      <c r="D6" s="137"/>
      <c r="E6" s="136" t="s">
        <v>300</v>
      </c>
      <c r="F6" s="137"/>
      <c r="G6" s="137"/>
      <c r="H6" s="136" t="s">
        <v>301</v>
      </c>
      <c r="I6" s="137"/>
      <c r="J6" s="137"/>
    </row>
    <row r="7" spans="1:254" ht="28.2" customHeight="1">
      <c r="A7" s="135"/>
      <c r="B7" s="138" t="s">
        <v>302</v>
      </c>
      <c r="C7" s="138" t="s">
        <v>303</v>
      </c>
      <c r="D7" s="138" t="s">
        <v>10</v>
      </c>
      <c r="E7" s="138" t="s">
        <v>302</v>
      </c>
      <c r="F7" s="138" t="s">
        <v>303</v>
      </c>
      <c r="G7" s="138" t="s">
        <v>10</v>
      </c>
      <c r="H7" s="138" t="s">
        <v>302</v>
      </c>
      <c r="I7" s="138" t="s">
        <v>303</v>
      </c>
      <c r="J7" s="138" t="s">
        <v>10</v>
      </c>
    </row>
    <row r="8" spans="1:254" ht="21.45">
      <c r="A8" s="135" t="s">
        <v>304</v>
      </c>
      <c r="B8" s="139" t="s">
        <v>305</v>
      </c>
      <c r="C8" s="139" t="s">
        <v>305</v>
      </c>
      <c r="D8" s="139" t="s">
        <v>305</v>
      </c>
      <c r="E8" s="139" t="s">
        <v>305</v>
      </c>
      <c r="F8" s="139" t="s">
        <v>305</v>
      </c>
      <c r="G8" s="139" t="s">
        <v>305</v>
      </c>
      <c r="H8" s="139" t="s">
        <v>305</v>
      </c>
      <c r="I8" s="139" t="s">
        <v>305</v>
      </c>
      <c r="J8" s="139" t="s">
        <v>305</v>
      </c>
    </row>
    <row r="9" spans="1:254" ht="28.2" customHeight="1">
      <c r="A9" s="140" t="s">
        <v>306</v>
      </c>
      <c r="B9" s="138" t="s">
        <v>307</v>
      </c>
      <c r="C9" s="138" t="s">
        <v>308</v>
      </c>
      <c r="D9" s="138" t="s">
        <v>309</v>
      </c>
      <c r="E9" s="138" t="s">
        <v>310</v>
      </c>
      <c r="F9" s="138" t="s">
        <v>311</v>
      </c>
      <c r="G9" s="138" t="s">
        <v>312</v>
      </c>
      <c r="H9" s="138" t="s">
        <v>313</v>
      </c>
      <c r="I9" s="138" t="s">
        <v>314</v>
      </c>
      <c r="J9" s="138" t="s">
        <v>315</v>
      </c>
    </row>
    <row r="10" spans="1:254">
      <c r="A10" s="141" t="s">
        <v>316</v>
      </c>
      <c r="B10" s="139" t="s">
        <v>317</v>
      </c>
      <c r="C10" s="139" t="s">
        <v>317</v>
      </c>
      <c r="D10" s="139" t="s">
        <v>317</v>
      </c>
      <c r="E10" s="139" t="s">
        <v>318</v>
      </c>
      <c r="F10" s="139" t="s">
        <v>319</v>
      </c>
      <c r="G10" s="139" t="s">
        <v>320</v>
      </c>
      <c r="H10" s="139" t="s">
        <v>321</v>
      </c>
      <c r="I10" s="139" t="s">
        <v>322</v>
      </c>
      <c r="J10" s="139" t="s">
        <v>323</v>
      </c>
    </row>
    <row r="11" spans="1:254">
      <c r="A11" s="141" t="s">
        <v>324</v>
      </c>
      <c r="B11" s="139" t="s">
        <v>325</v>
      </c>
      <c r="C11" s="139" t="s">
        <v>325</v>
      </c>
      <c r="D11" s="139" t="s">
        <v>325</v>
      </c>
      <c r="E11" s="139" t="s">
        <v>326</v>
      </c>
      <c r="F11" s="139" t="s">
        <v>326</v>
      </c>
      <c r="G11" s="139" t="s">
        <v>326</v>
      </c>
      <c r="H11" s="139" t="s">
        <v>326</v>
      </c>
      <c r="I11" s="139" t="s">
        <v>327</v>
      </c>
      <c r="J11" s="139" t="s">
        <v>326</v>
      </c>
    </row>
    <row r="12" spans="1:254">
      <c r="A12" s="141" t="s">
        <v>328</v>
      </c>
      <c r="B12" s="139" t="s">
        <v>329</v>
      </c>
      <c r="C12" s="139" t="s">
        <v>330</v>
      </c>
      <c r="D12" s="139" t="s">
        <v>331</v>
      </c>
      <c r="E12" s="139" t="s">
        <v>332</v>
      </c>
      <c r="F12" s="139" t="s">
        <v>333</v>
      </c>
      <c r="G12" s="139" t="s">
        <v>329</v>
      </c>
      <c r="H12" s="139" t="s">
        <v>332</v>
      </c>
      <c r="I12" s="139" t="s">
        <v>334</v>
      </c>
      <c r="J12" s="139" t="s">
        <v>335</v>
      </c>
    </row>
    <row r="13" spans="1:254">
      <c r="A13" s="141" t="s">
        <v>336</v>
      </c>
      <c r="B13" s="139" t="s">
        <v>337</v>
      </c>
      <c r="C13" s="139" t="s">
        <v>338</v>
      </c>
      <c r="D13" s="139" t="s">
        <v>339</v>
      </c>
      <c r="E13" s="139" t="s">
        <v>337</v>
      </c>
      <c r="F13" s="139" t="s">
        <v>339</v>
      </c>
      <c r="G13" s="139" t="s">
        <v>339</v>
      </c>
      <c r="H13" s="139" t="s">
        <v>340</v>
      </c>
      <c r="I13" s="139" t="s">
        <v>337</v>
      </c>
      <c r="J13" s="139" t="s">
        <v>337</v>
      </c>
    </row>
    <row r="14" spans="1:254">
      <c r="A14" s="141" t="s">
        <v>341</v>
      </c>
      <c r="B14" s="139" t="s">
        <v>342</v>
      </c>
      <c r="C14" s="139" t="s">
        <v>342</v>
      </c>
      <c r="D14" s="139" t="s">
        <v>342</v>
      </c>
      <c r="E14" s="139" t="s">
        <v>343</v>
      </c>
      <c r="F14" s="139" t="s">
        <v>344</v>
      </c>
      <c r="G14" s="139" t="s">
        <v>345</v>
      </c>
      <c r="H14" s="139" t="s">
        <v>346</v>
      </c>
      <c r="I14" s="139" t="s">
        <v>343</v>
      </c>
      <c r="J14" s="139" t="s">
        <v>347</v>
      </c>
    </row>
    <row r="15" spans="1:254">
      <c r="A15" s="141" t="s">
        <v>348</v>
      </c>
      <c r="B15" s="139" t="s">
        <v>325</v>
      </c>
      <c r="C15" s="139" t="s">
        <v>325</v>
      </c>
      <c r="D15" s="139" t="s">
        <v>325</v>
      </c>
      <c r="E15" s="139" t="s">
        <v>325</v>
      </c>
      <c r="F15" s="139" t="s">
        <v>325</v>
      </c>
      <c r="G15" s="139" t="s">
        <v>325</v>
      </c>
      <c r="H15" s="139" t="s">
        <v>325</v>
      </c>
      <c r="I15" s="139" t="s">
        <v>325</v>
      </c>
      <c r="J15" s="139" t="s">
        <v>325</v>
      </c>
    </row>
    <row r="16" spans="1:254">
      <c r="A16" s="141" t="s">
        <v>60</v>
      </c>
      <c r="B16" s="139" t="s">
        <v>326</v>
      </c>
      <c r="C16" s="139" t="s">
        <v>326</v>
      </c>
      <c r="D16" s="139" t="s">
        <v>326</v>
      </c>
      <c r="E16" s="139" t="s">
        <v>326</v>
      </c>
      <c r="F16" s="139" t="s">
        <v>326</v>
      </c>
      <c r="G16" s="139" t="s">
        <v>326</v>
      </c>
      <c r="H16" s="139" t="s">
        <v>326</v>
      </c>
      <c r="I16" s="139" t="s">
        <v>326</v>
      </c>
      <c r="J16" s="139" t="s">
        <v>326</v>
      </c>
    </row>
    <row r="17" spans="1:10" ht="28.2" customHeight="1">
      <c r="A17" s="140" t="s">
        <v>349</v>
      </c>
      <c r="B17" s="138" t="s">
        <v>350</v>
      </c>
      <c r="C17" s="138" t="s">
        <v>351</v>
      </c>
      <c r="D17" s="138" t="s">
        <v>352</v>
      </c>
      <c r="E17" s="138" t="s">
        <v>353</v>
      </c>
      <c r="F17" s="138" t="s">
        <v>354</v>
      </c>
      <c r="G17" s="138" t="s">
        <v>352</v>
      </c>
      <c r="H17" s="138" t="s">
        <v>355</v>
      </c>
      <c r="I17" s="138" t="s">
        <v>356</v>
      </c>
      <c r="J17" s="138" t="s">
        <v>357</v>
      </c>
    </row>
    <row r="18" spans="1:10">
      <c r="A18" s="141" t="s">
        <v>358</v>
      </c>
      <c r="B18" s="139" t="s">
        <v>359</v>
      </c>
      <c r="C18" s="139" t="s">
        <v>360</v>
      </c>
      <c r="D18" s="139" t="s">
        <v>361</v>
      </c>
      <c r="E18" s="139" t="s">
        <v>362</v>
      </c>
      <c r="F18" s="139" t="s">
        <v>363</v>
      </c>
      <c r="G18" s="139" t="s">
        <v>364</v>
      </c>
      <c r="H18" s="139" t="s">
        <v>365</v>
      </c>
      <c r="I18" s="139" t="s">
        <v>366</v>
      </c>
      <c r="J18" s="139" t="s">
        <v>367</v>
      </c>
    </row>
    <row r="19" spans="1:10">
      <c r="A19" s="141" t="s">
        <v>368</v>
      </c>
      <c r="B19" s="139" t="s">
        <v>369</v>
      </c>
      <c r="C19" s="139" t="s">
        <v>326</v>
      </c>
      <c r="D19" s="139" t="s">
        <v>327</v>
      </c>
      <c r="E19" s="139" t="s">
        <v>327</v>
      </c>
      <c r="F19" s="139" t="s">
        <v>326</v>
      </c>
      <c r="G19" s="139" t="s">
        <v>326</v>
      </c>
      <c r="H19" s="139" t="s">
        <v>327</v>
      </c>
      <c r="I19" s="139" t="s">
        <v>326</v>
      </c>
      <c r="J19" s="139" t="s">
        <v>326</v>
      </c>
    </row>
    <row r="20" spans="1:10">
      <c r="A20" s="141" t="s">
        <v>370</v>
      </c>
      <c r="B20" s="139" t="s">
        <v>326</v>
      </c>
      <c r="C20" s="139" t="s">
        <v>326</v>
      </c>
      <c r="D20" s="139" t="s">
        <v>326</v>
      </c>
      <c r="E20" s="139" t="s">
        <v>326</v>
      </c>
      <c r="F20" s="139" t="s">
        <v>326</v>
      </c>
      <c r="G20" s="139" t="s">
        <v>326</v>
      </c>
      <c r="H20" s="139" t="s">
        <v>326</v>
      </c>
      <c r="I20" s="139" t="s">
        <v>326</v>
      </c>
      <c r="J20" s="139" t="s">
        <v>326</v>
      </c>
    </row>
    <row r="21" spans="1:10">
      <c r="A21" s="141" t="s">
        <v>371</v>
      </c>
      <c r="B21" s="139" t="s">
        <v>372</v>
      </c>
      <c r="C21" s="139" t="s">
        <v>340</v>
      </c>
      <c r="D21" s="139" t="s">
        <v>338</v>
      </c>
      <c r="E21" s="139" t="s">
        <v>325</v>
      </c>
      <c r="F21" s="139" t="s">
        <v>325</v>
      </c>
      <c r="G21" s="139" t="s">
        <v>325</v>
      </c>
      <c r="H21" s="139" t="s">
        <v>326</v>
      </c>
      <c r="I21" s="139" t="s">
        <v>326</v>
      </c>
      <c r="J21" s="139" t="s">
        <v>326</v>
      </c>
    </row>
    <row r="22" spans="1:10">
      <c r="A22" s="141" t="s">
        <v>373</v>
      </c>
      <c r="B22" s="139" t="s">
        <v>327</v>
      </c>
      <c r="C22" s="139" t="s">
        <v>326</v>
      </c>
      <c r="D22" s="139" t="s">
        <v>326</v>
      </c>
      <c r="E22" s="139" t="s">
        <v>327</v>
      </c>
      <c r="F22" s="139" t="s">
        <v>326</v>
      </c>
      <c r="G22" s="139" t="s">
        <v>326</v>
      </c>
      <c r="H22" s="139" t="s">
        <v>326</v>
      </c>
      <c r="I22" s="139" t="s">
        <v>326</v>
      </c>
      <c r="J22" s="139" t="s">
        <v>326</v>
      </c>
    </row>
    <row r="23" spans="1:10">
      <c r="A23" s="141" t="s">
        <v>348</v>
      </c>
      <c r="B23" s="139" t="s">
        <v>374</v>
      </c>
      <c r="C23" s="139" t="s">
        <v>372</v>
      </c>
      <c r="D23" s="139" t="s">
        <v>375</v>
      </c>
      <c r="E23" s="139" t="s">
        <v>376</v>
      </c>
      <c r="F23" s="139" t="s">
        <v>377</v>
      </c>
      <c r="G23" s="139" t="s">
        <v>378</v>
      </c>
      <c r="H23" s="139" t="s">
        <v>379</v>
      </c>
      <c r="I23" s="139" t="s">
        <v>377</v>
      </c>
      <c r="J23" s="139" t="s">
        <v>380</v>
      </c>
    </row>
    <row r="24" spans="1:10">
      <c r="A24" s="141" t="s">
        <v>60</v>
      </c>
      <c r="B24" s="139" t="s">
        <v>327</v>
      </c>
      <c r="C24" s="139" t="s">
        <v>326</v>
      </c>
      <c r="D24" s="139" t="s">
        <v>326</v>
      </c>
      <c r="E24" s="139" t="s">
        <v>381</v>
      </c>
      <c r="F24" s="139" t="s">
        <v>327</v>
      </c>
      <c r="G24" s="139" t="s">
        <v>369</v>
      </c>
      <c r="H24" s="139" t="s">
        <v>327</v>
      </c>
      <c r="I24" s="139" t="s">
        <v>327</v>
      </c>
      <c r="J24" s="139" t="s">
        <v>327</v>
      </c>
    </row>
    <row r="25" spans="1:10" ht="28.2" customHeight="1">
      <c r="A25" s="140" t="s">
        <v>382</v>
      </c>
      <c r="B25" s="138" t="s">
        <v>383</v>
      </c>
      <c r="C25" s="138" t="s">
        <v>384</v>
      </c>
      <c r="D25" s="138" t="s">
        <v>385</v>
      </c>
      <c r="E25" s="138" t="s">
        <v>374</v>
      </c>
      <c r="F25" s="138" t="s">
        <v>384</v>
      </c>
      <c r="G25" s="138" t="s">
        <v>376</v>
      </c>
      <c r="H25" s="138" t="s">
        <v>385</v>
      </c>
      <c r="I25" s="138" t="s">
        <v>385</v>
      </c>
      <c r="J25" s="138" t="s">
        <v>385</v>
      </c>
    </row>
    <row r="26" spans="1:10">
      <c r="A26" s="141" t="s">
        <v>386</v>
      </c>
      <c r="B26" s="139" t="s">
        <v>387</v>
      </c>
      <c r="C26" s="139" t="s">
        <v>388</v>
      </c>
      <c r="D26" s="139" t="s">
        <v>377</v>
      </c>
      <c r="E26" s="139" t="s">
        <v>372</v>
      </c>
      <c r="F26" s="139" t="s">
        <v>388</v>
      </c>
      <c r="G26" s="139" t="s">
        <v>372</v>
      </c>
      <c r="H26" s="139" t="s">
        <v>377</v>
      </c>
      <c r="I26" s="139" t="s">
        <v>389</v>
      </c>
      <c r="J26" s="139" t="s">
        <v>377</v>
      </c>
    </row>
    <row r="27" spans="1:10">
      <c r="A27" s="141" t="s">
        <v>390</v>
      </c>
      <c r="B27" s="139" t="s">
        <v>327</v>
      </c>
      <c r="C27" s="139" t="s">
        <v>325</v>
      </c>
      <c r="D27" s="139" t="s">
        <v>326</v>
      </c>
      <c r="E27" s="139" t="s">
        <v>326</v>
      </c>
      <c r="F27" s="139" t="s">
        <v>326</v>
      </c>
      <c r="G27" s="139" t="s">
        <v>326</v>
      </c>
      <c r="H27" s="139" t="s">
        <v>326</v>
      </c>
      <c r="I27" s="139" t="s">
        <v>325</v>
      </c>
      <c r="J27" s="139" t="s">
        <v>326</v>
      </c>
    </row>
    <row r="28" spans="1:10">
      <c r="A28" s="141" t="s">
        <v>391</v>
      </c>
      <c r="B28" s="139" t="s">
        <v>392</v>
      </c>
      <c r="C28" s="139" t="s">
        <v>392</v>
      </c>
      <c r="D28" s="139" t="s">
        <v>392</v>
      </c>
      <c r="E28" s="139" t="s">
        <v>393</v>
      </c>
      <c r="F28" s="139" t="s">
        <v>372</v>
      </c>
      <c r="G28" s="139" t="s">
        <v>392</v>
      </c>
      <c r="H28" s="139" t="s">
        <v>392</v>
      </c>
      <c r="I28" s="139" t="s">
        <v>372</v>
      </c>
      <c r="J28" s="139" t="s">
        <v>372</v>
      </c>
    </row>
    <row r="29" spans="1:10">
      <c r="A29" s="141" t="s">
        <v>394</v>
      </c>
      <c r="B29" s="139" t="s">
        <v>327</v>
      </c>
      <c r="C29" s="139" t="s">
        <v>326</v>
      </c>
      <c r="D29" s="139" t="s">
        <v>327</v>
      </c>
      <c r="E29" s="139" t="s">
        <v>325</v>
      </c>
      <c r="F29" s="139" t="s">
        <v>325</v>
      </c>
      <c r="G29" s="139" t="s">
        <v>325</v>
      </c>
      <c r="H29" s="139" t="s">
        <v>325</v>
      </c>
      <c r="I29" s="139" t="s">
        <v>325</v>
      </c>
      <c r="J29" s="139" t="s">
        <v>325</v>
      </c>
    </row>
    <row r="30" spans="1:10">
      <c r="A30" s="141" t="s">
        <v>348</v>
      </c>
      <c r="B30" s="139" t="s">
        <v>381</v>
      </c>
      <c r="C30" s="139" t="s">
        <v>369</v>
      </c>
      <c r="D30" s="139" t="s">
        <v>369</v>
      </c>
      <c r="E30" s="139" t="s">
        <v>369</v>
      </c>
      <c r="F30" s="139" t="s">
        <v>369</v>
      </c>
      <c r="G30" s="139" t="s">
        <v>369</v>
      </c>
      <c r="H30" s="139" t="s">
        <v>381</v>
      </c>
      <c r="I30" s="139" t="s">
        <v>381</v>
      </c>
      <c r="J30" s="139" t="s">
        <v>381</v>
      </c>
    </row>
    <row r="31" spans="1:10">
      <c r="A31" s="141" t="s">
        <v>60</v>
      </c>
      <c r="B31" s="139" t="s">
        <v>325</v>
      </c>
      <c r="C31" s="139" t="s">
        <v>325</v>
      </c>
      <c r="D31" s="139" t="s">
        <v>325</v>
      </c>
      <c r="E31" s="139" t="s">
        <v>326</v>
      </c>
      <c r="F31" s="139" t="s">
        <v>326</v>
      </c>
      <c r="G31" s="139" t="s">
        <v>326</v>
      </c>
      <c r="H31" s="139" t="s">
        <v>326</v>
      </c>
      <c r="I31" s="139" t="s">
        <v>326</v>
      </c>
      <c r="J31" s="139" t="s">
        <v>326</v>
      </c>
    </row>
    <row r="32" spans="1:10" ht="28.2" customHeight="1">
      <c r="A32" s="140" t="s">
        <v>395</v>
      </c>
      <c r="B32" s="138" t="s">
        <v>396</v>
      </c>
      <c r="C32" s="138" t="s">
        <v>397</v>
      </c>
      <c r="D32" s="138" t="s">
        <v>398</v>
      </c>
      <c r="E32" s="138" t="s">
        <v>396</v>
      </c>
      <c r="F32" s="138" t="s">
        <v>399</v>
      </c>
      <c r="G32" s="138" t="s">
        <v>400</v>
      </c>
      <c r="H32" s="138" t="s">
        <v>396</v>
      </c>
      <c r="I32" s="138" t="s">
        <v>401</v>
      </c>
      <c r="J32" s="138" t="s">
        <v>402</v>
      </c>
    </row>
    <row r="33" spans="1:10" ht="21" customHeight="1">
      <c r="A33" s="142" t="s">
        <v>403</v>
      </c>
      <c r="B33" s="143" t="s">
        <v>404</v>
      </c>
      <c r="C33" s="143" t="s">
        <v>405</v>
      </c>
      <c r="D33" s="143" t="s">
        <v>345</v>
      </c>
      <c r="E33" s="143" t="s">
        <v>406</v>
      </c>
      <c r="F33" s="143" t="s">
        <v>400</v>
      </c>
      <c r="G33" s="143" t="s">
        <v>407</v>
      </c>
      <c r="H33" s="143" t="s">
        <v>332</v>
      </c>
      <c r="I33" s="143" t="s">
        <v>408</v>
      </c>
      <c r="J33" s="143" t="s">
        <v>346</v>
      </c>
    </row>
    <row r="34" spans="1:10">
      <c r="A34" s="141" t="s">
        <v>409</v>
      </c>
      <c r="B34" s="139" t="s">
        <v>374</v>
      </c>
      <c r="C34" s="139" t="s">
        <v>410</v>
      </c>
      <c r="D34" s="139" t="s">
        <v>411</v>
      </c>
      <c r="E34" s="139" t="s">
        <v>376</v>
      </c>
      <c r="F34" s="139" t="s">
        <v>412</v>
      </c>
      <c r="G34" s="139" t="s">
        <v>411</v>
      </c>
      <c r="H34" s="139" t="s">
        <v>413</v>
      </c>
      <c r="I34" s="139" t="s">
        <v>412</v>
      </c>
      <c r="J34" s="139" t="s">
        <v>335</v>
      </c>
    </row>
    <row r="35" spans="1:10">
      <c r="A35" s="141" t="s">
        <v>414</v>
      </c>
      <c r="B35" s="139" t="s">
        <v>381</v>
      </c>
      <c r="C35" s="139" t="s">
        <v>415</v>
      </c>
      <c r="D35" s="139" t="s">
        <v>416</v>
      </c>
      <c r="E35" s="139" t="s">
        <v>340</v>
      </c>
      <c r="F35" s="139" t="s">
        <v>417</v>
      </c>
      <c r="G35" s="139" t="s">
        <v>416</v>
      </c>
      <c r="H35" s="139" t="s">
        <v>340</v>
      </c>
      <c r="I35" s="139" t="s">
        <v>413</v>
      </c>
      <c r="J35" s="139" t="s">
        <v>418</v>
      </c>
    </row>
    <row r="36" spans="1:10">
      <c r="A36" s="141" t="s">
        <v>419</v>
      </c>
      <c r="B36" s="139" t="s">
        <v>393</v>
      </c>
      <c r="C36" s="139" t="s">
        <v>420</v>
      </c>
      <c r="D36" s="139" t="s">
        <v>376</v>
      </c>
      <c r="E36" s="139" t="s">
        <v>393</v>
      </c>
      <c r="F36" s="139" t="s">
        <v>404</v>
      </c>
      <c r="G36" s="139" t="s">
        <v>421</v>
      </c>
      <c r="H36" s="139" t="s">
        <v>392</v>
      </c>
      <c r="I36" s="139" t="s">
        <v>417</v>
      </c>
      <c r="J36" s="139" t="s">
        <v>422</v>
      </c>
    </row>
    <row r="37" spans="1:10" ht="21" customHeight="1">
      <c r="A37" s="142" t="s">
        <v>423</v>
      </c>
      <c r="B37" s="143" t="s">
        <v>334</v>
      </c>
      <c r="C37" s="143" t="s">
        <v>424</v>
      </c>
      <c r="D37" s="143" t="s">
        <v>420</v>
      </c>
      <c r="E37" s="143" t="s">
        <v>331</v>
      </c>
      <c r="F37" s="143" t="s">
        <v>425</v>
      </c>
      <c r="G37" s="143" t="s">
        <v>332</v>
      </c>
      <c r="H37" s="143" t="s">
        <v>426</v>
      </c>
      <c r="I37" s="143" t="s">
        <v>427</v>
      </c>
      <c r="J37" s="143" t="s">
        <v>406</v>
      </c>
    </row>
    <row r="38" spans="1:10">
      <c r="A38" s="141" t="s">
        <v>428</v>
      </c>
      <c r="B38" s="139" t="s">
        <v>385</v>
      </c>
      <c r="C38" s="139" t="s">
        <v>422</v>
      </c>
      <c r="D38" s="139" t="s">
        <v>376</v>
      </c>
      <c r="E38" s="139" t="s">
        <v>379</v>
      </c>
      <c r="F38" s="139" t="s">
        <v>421</v>
      </c>
      <c r="G38" s="139" t="s">
        <v>429</v>
      </c>
      <c r="H38" s="139" t="s">
        <v>421</v>
      </c>
      <c r="I38" s="139" t="s">
        <v>380</v>
      </c>
      <c r="J38" s="139" t="s">
        <v>422</v>
      </c>
    </row>
    <row r="39" spans="1:10">
      <c r="A39" s="141" t="s">
        <v>430</v>
      </c>
      <c r="B39" s="139" t="s">
        <v>378</v>
      </c>
      <c r="C39" s="139" t="s">
        <v>381</v>
      </c>
      <c r="D39" s="139" t="s">
        <v>388</v>
      </c>
      <c r="E39" s="139" t="s">
        <v>418</v>
      </c>
      <c r="F39" s="139" t="s">
        <v>381</v>
      </c>
      <c r="G39" s="139" t="s">
        <v>392</v>
      </c>
      <c r="H39" s="139" t="s">
        <v>377</v>
      </c>
      <c r="I39" s="139" t="s">
        <v>369</v>
      </c>
      <c r="J39" s="139" t="s">
        <v>393</v>
      </c>
    </row>
    <row r="40" spans="1:10">
      <c r="A40" s="141" t="s">
        <v>431</v>
      </c>
      <c r="B40" s="139" t="s">
        <v>369</v>
      </c>
      <c r="C40" s="139" t="s">
        <v>381</v>
      </c>
      <c r="D40" s="139" t="s">
        <v>381</v>
      </c>
      <c r="E40" s="139" t="s">
        <v>339</v>
      </c>
      <c r="F40" s="139" t="s">
        <v>393</v>
      </c>
      <c r="G40" s="139" t="s">
        <v>338</v>
      </c>
      <c r="H40" s="139" t="s">
        <v>339</v>
      </c>
      <c r="I40" s="139" t="s">
        <v>392</v>
      </c>
      <c r="J40" s="139" t="s">
        <v>393</v>
      </c>
    </row>
    <row r="41" spans="1:10">
      <c r="A41" s="141" t="s">
        <v>348</v>
      </c>
      <c r="B41" s="139" t="s">
        <v>381</v>
      </c>
      <c r="C41" s="139" t="s">
        <v>327</v>
      </c>
      <c r="D41" s="139" t="s">
        <v>369</v>
      </c>
      <c r="E41" s="139" t="s">
        <v>369</v>
      </c>
      <c r="F41" s="139" t="s">
        <v>327</v>
      </c>
      <c r="G41" s="139" t="s">
        <v>369</v>
      </c>
      <c r="H41" s="139" t="s">
        <v>381</v>
      </c>
      <c r="I41" s="139" t="s">
        <v>369</v>
      </c>
      <c r="J41" s="139" t="s">
        <v>381</v>
      </c>
    </row>
    <row r="42" spans="1:10">
      <c r="A42" s="141" t="s">
        <v>60</v>
      </c>
      <c r="B42" s="139" t="s">
        <v>369</v>
      </c>
      <c r="C42" s="139" t="s">
        <v>327</v>
      </c>
      <c r="D42" s="139" t="s">
        <v>327</v>
      </c>
      <c r="E42" s="139" t="s">
        <v>381</v>
      </c>
      <c r="F42" s="139" t="s">
        <v>369</v>
      </c>
      <c r="G42" s="139" t="s">
        <v>369</v>
      </c>
      <c r="H42" s="139" t="s">
        <v>340</v>
      </c>
      <c r="I42" s="139" t="s">
        <v>369</v>
      </c>
      <c r="J42" s="139" t="s">
        <v>381</v>
      </c>
    </row>
    <row r="43" spans="1:10" ht="28.2" customHeight="1">
      <c r="A43" s="140" t="s">
        <v>432</v>
      </c>
      <c r="B43" s="138" t="s">
        <v>377</v>
      </c>
      <c r="C43" s="138" t="s">
        <v>335</v>
      </c>
      <c r="D43" s="138" t="s">
        <v>383</v>
      </c>
      <c r="E43" s="138" t="s">
        <v>433</v>
      </c>
      <c r="F43" s="138" t="s">
        <v>426</v>
      </c>
      <c r="G43" s="138" t="s">
        <v>424</v>
      </c>
      <c r="H43" s="138" t="s">
        <v>422</v>
      </c>
      <c r="I43" s="138" t="s">
        <v>434</v>
      </c>
      <c r="J43" s="138" t="s">
        <v>435</v>
      </c>
    </row>
    <row r="44" spans="1:10">
      <c r="A44" s="141" t="s">
        <v>436</v>
      </c>
      <c r="B44" s="139" t="s">
        <v>337</v>
      </c>
      <c r="C44" s="139" t="s">
        <v>385</v>
      </c>
      <c r="D44" s="139" t="s">
        <v>375</v>
      </c>
      <c r="E44" s="139" t="s">
        <v>381</v>
      </c>
      <c r="F44" s="139" t="s">
        <v>380</v>
      </c>
      <c r="G44" s="139" t="s">
        <v>389</v>
      </c>
      <c r="H44" s="139" t="s">
        <v>337</v>
      </c>
      <c r="I44" s="139" t="s">
        <v>374</v>
      </c>
      <c r="J44" s="139" t="s">
        <v>387</v>
      </c>
    </row>
    <row r="45" spans="1:10">
      <c r="A45" s="141" t="s">
        <v>437</v>
      </c>
      <c r="B45" s="139" t="s">
        <v>326</v>
      </c>
      <c r="C45" s="139" t="s">
        <v>327</v>
      </c>
      <c r="D45" s="139" t="s">
        <v>326</v>
      </c>
      <c r="E45" s="139" t="s">
        <v>326</v>
      </c>
      <c r="F45" s="139" t="s">
        <v>326</v>
      </c>
      <c r="G45" s="139" t="s">
        <v>326</v>
      </c>
      <c r="H45" s="139" t="s">
        <v>325</v>
      </c>
      <c r="I45" s="139" t="s">
        <v>326</v>
      </c>
      <c r="J45" s="139" t="s">
        <v>326</v>
      </c>
    </row>
    <row r="46" spans="1:10">
      <c r="A46" s="141" t="s">
        <v>438</v>
      </c>
      <c r="B46" s="139" t="s">
        <v>381</v>
      </c>
      <c r="C46" s="139" t="s">
        <v>339</v>
      </c>
      <c r="D46" s="139" t="s">
        <v>337</v>
      </c>
      <c r="E46" s="139" t="s">
        <v>340</v>
      </c>
      <c r="F46" s="139" t="s">
        <v>337</v>
      </c>
      <c r="G46" s="139" t="s">
        <v>340</v>
      </c>
      <c r="H46" s="139" t="s">
        <v>393</v>
      </c>
      <c r="I46" s="139" t="s">
        <v>433</v>
      </c>
      <c r="J46" s="139" t="s">
        <v>388</v>
      </c>
    </row>
    <row r="47" spans="1:10">
      <c r="A47" s="141" t="s">
        <v>439</v>
      </c>
      <c r="B47" s="139" t="s">
        <v>326</v>
      </c>
      <c r="C47" s="139" t="s">
        <v>369</v>
      </c>
      <c r="D47" s="139" t="s">
        <v>327</v>
      </c>
      <c r="E47" s="139" t="s">
        <v>369</v>
      </c>
      <c r="F47" s="139" t="s">
        <v>340</v>
      </c>
      <c r="G47" s="139" t="s">
        <v>381</v>
      </c>
      <c r="H47" s="139" t="s">
        <v>327</v>
      </c>
      <c r="I47" s="139" t="s">
        <v>381</v>
      </c>
      <c r="J47" s="139" t="s">
        <v>369</v>
      </c>
    </row>
    <row r="48" spans="1:10">
      <c r="A48" s="141" t="s">
        <v>440</v>
      </c>
      <c r="B48" s="139" t="s">
        <v>325</v>
      </c>
      <c r="C48" s="139" t="s">
        <v>325</v>
      </c>
      <c r="D48" s="139" t="s">
        <v>325</v>
      </c>
      <c r="E48" s="139" t="s">
        <v>325</v>
      </c>
      <c r="F48" s="139" t="s">
        <v>326</v>
      </c>
      <c r="G48" s="139" t="s">
        <v>326</v>
      </c>
      <c r="H48" s="139" t="s">
        <v>325</v>
      </c>
      <c r="I48" s="139" t="s">
        <v>326</v>
      </c>
      <c r="J48" s="139" t="s">
        <v>325</v>
      </c>
    </row>
    <row r="49" spans="1:10">
      <c r="A49" s="141" t="s">
        <v>348</v>
      </c>
      <c r="B49" s="139" t="s">
        <v>327</v>
      </c>
      <c r="C49" s="139" t="s">
        <v>337</v>
      </c>
      <c r="D49" s="139" t="s">
        <v>381</v>
      </c>
      <c r="E49" s="139" t="s">
        <v>327</v>
      </c>
      <c r="F49" s="139" t="s">
        <v>339</v>
      </c>
      <c r="G49" s="139" t="s">
        <v>340</v>
      </c>
      <c r="H49" s="139" t="s">
        <v>369</v>
      </c>
      <c r="I49" s="139" t="s">
        <v>393</v>
      </c>
      <c r="J49" s="139" t="s">
        <v>337</v>
      </c>
    </row>
    <row r="50" spans="1:10">
      <c r="A50" s="141" t="s">
        <v>60</v>
      </c>
      <c r="B50" s="139" t="s">
        <v>325</v>
      </c>
      <c r="C50" s="139" t="s">
        <v>326</v>
      </c>
      <c r="D50" s="139" t="s">
        <v>325</v>
      </c>
      <c r="E50" s="139" t="s">
        <v>327</v>
      </c>
      <c r="F50" s="139" t="s">
        <v>381</v>
      </c>
      <c r="G50" s="139" t="s">
        <v>369</v>
      </c>
      <c r="H50" s="139" t="s">
        <v>327</v>
      </c>
      <c r="I50" s="139" t="s">
        <v>340</v>
      </c>
      <c r="J50" s="139" t="s">
        <v>369</v>
      </c>
    </row>
    <row r="51" spans="1:10" ht="28.2" customHeight="1">
      <c r="A51" s="140" t="s">
        <v>441</v>
      </c>
      <c r="B51" s="138" t="s">
        <v>415</v>
      </c>
      <c r="C51" s="138" t="s">
        <v>442</v>
      </c>
      <c r="D51" s="138" t="s">
        <v>426</v>
      </c>
      <c r="E51" s="138" t="s">
        <v>427</v>
      </c>
      <c r="F51" s="138" t="s">
        <v>334</v>
      </c>
      <c r="G51" s="138" t="s">
        <v>426</v>
      </c>
      <c r="H51" s="138" t="s">
        <v>443</v>
      </c>
      <c r="I51" s="138" t="s">
        <v>444</v>
      </c>
      <c r="J51" s="138" t="s">
        <v>411</v>
      </c>
    </row>
    <row r="52" spans="1:10">
      <c r="A52" s="141" t="s">
        <v>445</v>
      </c>
      <c r="B52" s="139" t="s">
        <v>418</v>
      </c>
      <c r="C52" s="139" t="s">
        <v>385</v>
      </c>
      <c r="D52" s="139" t="s">
        <v>421</v>
      </c>
      <c r="E52" s="139" t="s">
        <v>433</v>
      </c>
      <c r="F52" s="139" t="s">
        <v>379</v>
      </c>
      <c r="G52" s="139" t="s">
        <v>422</v>
      </c>
      <c r="H52" s="139" t="s">
        <v>418</v>
      </c>
      <c r="I52" s="139" t="s">
        <v>384</v>
      </c>
      <c r="J52" s="139" t="s">
        <v>421</v>
      </c>
    </row>
    <row r="53" spans="1:10">
      <c r="A53" s="141" t="s">
        <v>446</v>
      </c>
      <c r="B53" s="139" t="s">
        <v>381</v>
      </c>
      <c r="C53" s="139" t="s">
        <v>339</v>
      </c>
      <c r="D53" s="139" t="s">
        <v>340</v>
      </c>
      <c r="E53" s="139" t="s">
        <v>381</v>
      </c>
      <c r="F53" s="139" t="s">
        <v>337</v>
      </c>
      <c r="G53" s="139" t="s">
        <v>340</v>
      </c>
      <c r="H53" s="139" t="s">
        <v>381</v>
      </c>
      <c r="I53" s="139" t="s">
        <v>339</v>
      </c>
      <c r="J53" s="139" t="s">
        <v>340</v>
      </c>
    </row>
    <row r="54" spans="1:10">
      <c r="A54" s="141" t="s">
        <v>348</v>
      </c>
      <c r="B54" s="139" t="s">
        <v>389</v>
      </c>
      <c r="C54" s="139" t="s">
        <v>375</v>
      </c>
      <c r="D54" s="139" t="s">
        <v>387</v>
      </c>
      <c r="E54" s="139" t="s">
        <v>389</v>
      </c>
      <c r="F54" s="139" t="s">
        <v>375</v>
      </c>
      <c r="G54" s="139" t="s">
        <v>433</v>
      </c>
      <c r="H54" s="139" t="s">
        <v>433</v>
      </c>
      <c r="I54" s="139" t="s">
        <v>380</v>
      </c>
      <c r="J54" s="139" t="s">
        <v>416</v>
      </c>
    </row>
    <row r="55" spans="1:10">
      <c r="A55" s="141" t="s">
        <v>60</v>
      </c>
      <c r="B55" s="139" t="s">
        <v>326</v>
      </c>
      <c r="C55" s="139" t="s">
        <v>326</v>
      </c>
      <c r="D55" s="139" t="s">
        <v>326</v>
      </c>
      <c r="E55" s="139" t="s">
        <v>327</v>
      </c>
      <c r="F55" s="139" t="s">
        <v>327</v>
      </c>
      <c r="G55" s="139" t="s">
        <v>327</v>
      </c>
      <c r="H55" s="139" t="s">
        <v>326</v>
      </c>
      <c r="I55" s="139" t="s">
        <v>326</v>
      </c>
      <c r="J55" s="139" t="s">
        <v>326</v>
      </c>
    </row>
    <row r="56" spans="1:10" ht="28.2" customHeight="1">
      <c r="A56" s="140" t="s">
        <v>447</v>
      </c>
      <c r="B56" s="138" t="s">
        <v>378</v>
      </c>
      <c r="C56" s="138" t="s">
        <v>378</v>
      </c>
      <c r="D56" s="138" t="s">
        <v>378</v>
      </c>
      <c r="E56" s="138" t="s">
        <v>416</v>
      </c>
      <c r="F56" s="138" t="s">
        <v>374</v>
      </c>
      <c r="G56" s="138" t="s">
        <v>422</v>
      </c>
      <c r="H56" s="138" t="s">
        <v>387</v>
      </c>
      <c r="I56" s="138" t="s">
        <v>374</v>
      </c>
      <c r="J56" s="138" t="s">
        <v>416</v>
      </c>
    </row>
    <row r="57" spans="1:10">
      <c r="A57" s="141" t="s">
        <v>448</v>
      </c>
      <c r="B57" s="139" t="s">
        <v>393</v>
      </c>
      <c r="C57" s="139" t="s">
        <v>338</v>
      </c>
      <c r="D57" s="139" t="s">
        <v>393</v>
      </c>
      <c r="E57" s="139" t="s">
        <v>393</v>
      </c>
      <c r="F57" s="139" t="s">
        <v>389</v>
      </c>
      <c r="G57" s="139" t="s">
        <v>372</v>
      </c>
      <c r="H57" s="139" t="s">
        <v>339</v>
      </c>
      <c r="I57" s="139" t="s">
        <v>372</v>
      </c>
      <c r="J57" s="139" t="s">
        <v>393</v>
      </c>
    </row>
    <row r="58" spans="1:10">
      <c r="A58" s="141" t="s">
        <v>449</v>
      </c>
      <c r="B58" s="139" t="s">
        <v>381</v>
      </c>
      <c r="C58" s="139" t="s">
        <v>340</v>
      </c>
      <c r="D58" s="139" t="s">
        <v>340</v>
      </c>
      <c r="E58" s="139" t="s">
        <v>340</v>
      </c>
      <c r="F58" s="139" t="s">
        <v>339</v>
      </c>
      <c r="G58" s="139" t="s">
        <v>337</v>
      </c>
      <c r="H58" s="139" t="s">
        <v>369</v>
      </c>
      <c r="I58" s="139" t="s">
        <v>337</v>
      </c>
      <c r="J58" s="139" t="s">
        <v>381</v>
      </c>
    </row>
    <row r="59" spans="1:10">
      <c r="A59" s="141" t="s">
        <v>348</v>
      </c>
      <c r="B59" s="139" t="s">
        <v>337</v>
      </c>
      <c r="C59" s="139" t="s">
        <v>337</v>
      </c>
      <c r="D59" s="139" t="s">
        <v>337</v>
      </c>
      <c r="E59" s="139" t="s">
        <v>381</v>
      </c>
      <c r="F59" s="139" t="s">
        <v>381</v>
      </c>
      <c r="G59" s="139" t="s">
        <v>381</v>
      </c>
      <c r="H59" s="139" t="s">
        <v>327</v>
      </c>
      <c r="I59" s="139" t="s">
        <v>369</v>
      </c>
      <c r="J59" s="139" t="s">
        <v>369</v>
      </c>
    </row>
    <row r="60" spans="1:10">
      <c r="A60" s="141" t="s">
        <v>60</v>
      </c>
      <c r="B60" s="139" t="s">
        <v>325</v>
      </c>
      <c r="C60" s="139" t="s">
        <v>326</v>
      </c>
      <c r="D60" s="139" t="s">
        <v>326</v>
      </c>
      <c r="E60" s="139" t="s">
        <v>326</v>
      </c>
      <c r="F60" s="139" t="s">
        <v>326</v>
      </c>
      <c r="G60" s="139" t="s">
        <v>326</v>
      </c>
      <c r="H60" s="139" t="s">
        <v>327</v>
      </c>
      <c r="I60" s="139" t="s">
        <v>369</v>
      </c>
      <c r="J60" s="139" t="s">
        <v>369</v>
      </c>
    </row>
    <row r="61" spans="1:10" ht="28.2" customHeight="1">
      <c r="A61" s="140" t="s">
        <v>450</v>
      </c>
      <c r="B61" s="138" t="s">
        <v>451</v>
      </c>
      <c r="C61" s="138" t="s">
        <v>452</v>
      </c>
      <c r="D61" s="138" t="s">
        <v>453</v>
      </c>
      <c r="E61" s="138" t="s">
        <v>420</v>
      </c>
      <c r="F61" s="138" t="s">
        <v>329</v>
      </c>
      <c r="G61" s="138" t="s">
        <v>426</v>
      </c>
      <c r="H61" s="138" t="s">
        <v>406</v>
      </c>
      <c r="I61" s="138" t="s">
        <v>329</v>
      </c>
      <c r="J61" s="138" t="s">
        <v>332</v>
      </c>
    </row>
    <row r="62" spans="1:10">
      <c r="A62" s="141" t="s">
        <v>454</v>
      </c>
      <c r="B62" s="139" t="s">
        <v>455</v>
      </c>
      <c r="C62" s="139" t="s">
        <v>456</v>
      </c>
      <c r="D62" s="139" t="s">
        <v>457</v>
      </c>
      <c r="E62" s="139" t="s">
        <v>372</v>
      </c>
      <c r="F62" s="139" t="s">
        <v>372</v>
      </c>
      <c r="G62" s="139" t="s">
        <v>372</v>
      </c>
      <c r="H62" s="139" t="s">
        <v>392</v>
      </c>
      <c r="I62" s="139" t="s">
        <v>392</v>
      </c>
      <c r="J62" s="139" t="s">
        <v>392</v>
      </c>
    </row>
    <row r="63" spans="1:10">
      <c r="A63" s="141" t="s">
        <v>458</v>
      </c>
      <c r="B63" s="139" t="s">
        <v>381</v>
      </c>
      <c r="C63" s="139" t="s">
        <v>340</v>
      </c>
      <c r="D63" s="139" t="s">
        <v>381</v>
      </c>
      <c r="E63" s="139" t="s">
        <v>340</v>
      </c>
      <c r="F63" s="139" t="s">
        <v>337</v>
      </c>
      <c r="G63" s="139" t="s">
        <v>340</v>
      </c>
      <c r="H63" s="139" t="s">
        <v>369</v>
      </c>
      <c r="I63" s="139" t="s">
        <v>340</v>
      </c>
      <c r="J63" s="139" t="s">
        <v>381</v>
      </c>
    </row>
    <row r="64" spans="1:10">
      <c r="A64" s="141" t="s">
        <v>459</v>
      </c>
      <c r="B64" s="139" t="s">
        <v>369</v>
      </c>
      <c r="C64" s="139" t="s">
        <v>327</v>
      </c>
      <c r="D64" s="139" t="s">
        <v>327</v>
      </c>
      <c r="E64" s="139" t="s">
        <v>327</v>
      </c>
      <c r="F64" s="139" t="s">
        <v>326</v>
      </c>
      <c r="G64" s="139" t="s">
        <v>327</v>
      </c>
      <c r="H64" s="139" t="s">
        <v>327</v>
      </c>
      <c r="I64" s="139" t="s">
        <v>326</v>
      </c>
      <c r="J64" s="139" t="s">
        <v>327</v>
      </c>
    </row>
    <row r="65" spans="1:10">
      <c r="A65" s="141" t="s">
        <v>460</v>
      </c>
      <c r="B65" s="139" t="s">
        <v>340</v>
      </c>
      <c r="C65" s="139" t="s">
        <v>337</v>
      </c>
      <c r="D65" s="139" t="s">
        <v>337</v>
      </c>
      <c r="E65" s="139" t="s">
        <v>381</v>
      </c>
      <c r="F65" s="139" t="s">
        <v>340</v>
      </c>
      <c r="G65" s="139" t="s">
        <v>340</v>
      </c>
      <c r="H65" s="139" t="s">
        <v>369</v>
      </c>
      <c r="I65" s="139" t="s">
        <v>340</v>
      </c>
      <c r="J65" s="139" t="s">
        <v>381</v>
      </c>
    </row>
    <row r="66" spans="1:10">
      <c r="A66" s="141" t="s">
        <v>461</v>
      </c>
      <c r="B66" s="139" t="s">
        <v>340</v>
      </c>
      <c r="C66" s="139" t="s">
        <v>337</v>
      </c>
      <c r="D66" s="139" t="s">
        <v>340</v>
      </c>
      <c r="E66" s="139" t="s">
        <v>339</v>
      </c>
      <c r="F66" s="139" t="s">
        <v>393</v>
      </c>
      <c r="G66" s="139" t="s">
        <v>338</v>
      </c>
      <c r="H66" s="139" t="s">
        <v>339</v>
      </c>
      <c r="I66" s="139" t="s">
        <v>392</v>
      </c>
      <c r="J66" s="139" t="s">
        <v>393</v>
      </c>
    </row>
    <row r="67" spans="1:10">
      <c r="A67" s="141" t="s">
        <v>462</v>
      </c>
      <c r="B67" s="139" t="s">
        <v>325</v>
      </c>
      <c r="C67" s="139" t="s">
        <v>325</v>
      </c>
      <c r="D67" s="139" t="s">
        <v>325</v>
      </c>
      <c r="E67" s="139" t="s">
        <v>325</v>
      </c>
      <c r="F67" s="139" t="s">
        <v>325</v>
      </c>
      <c r="G67" s="139" t="s">
        <v>325</v>
      </c>
      <c r="H67" s="139" t="s">
        <v>325</v>
      </c>
      <c r="I67" s="139" t="s">
        <v>325</v>
      </c>
      <c r="J67" s="139" t="s">
        <v>325</v>
      </c>
    </row>
    <row r="68" spans="1:10">
      <c r="A68" s="141" t="s">
        <v>348</v>
      </c>
      <c r="B68" s="139" t="s">
        <v>433</v>
      </c>
      <c r="C68" s="139" t="s">
        <v>418</v>
      </c>
      <c r="D68" s="139" t="s">
        <v>433</v>
      </c>
      <c r="E68" s="139" t="s">
        <v>388</v>
      </c>
      <c r="F68" s="139" t="s">
        <v>389</v>
      </c>
      <c r="G68" s="139" t="s">
        <v>389</v>
      </c>
      <c r="H68" s="139" t="s">
        <v>372</v>
      </c>
      <c r="I68" s="139" t="s">
        <v>389</v>
      </c>
      <c r="J68" s="139" t="s">
        <v>388</v>
      </c>
    </row>
    <row r="69" spans="1:10">
      <c r="A69" s="141" t="s">
        <v>60</v>
      </c>
      <c r="B69" s="139" t="s">
        <v>325</v>
      </c>
      <c r="C69" s="139" t="s">
        <v>325</v>
      </c>
      <c r="D69" s="139" t="s">
        <v>325</v>
      </c>
      <c r="E69" s="139" t="s">
        <v>326</v>
      </c>
      <c r="F69" s="139" t="s">
        <v>326</v>
      </c>
      <c r="G69" s="139" t="s">
        <v>326</v>
      </c>
      <c r="H69" s="139" t="s">
        <v>327</v>
      </c>
      <c r="I69" s="139" t="s">
        <v>369</v>
      </c>
      <c r="J69" s="139" t="s">
        <v>327</v>
      </c>
    </row>
    <row r="70" spans="1:10" ht="28.2" customHeight="1">
      <c r="A70" s="140" t="s">
        <v>463</v>
      </c>
      <c r="B70" s="138" t="s">
        <v>464</v>
      </c>
      <c r="C70" s="138" t="s">
        <v>465</v>
      </c>
      <c r="D70" s="138" t="s">
        <v>466</v>
      </c>
      <c r="E70" s="138" t="s">
        <v>467</v>
      </c>
      <c r="F70" s="138" t="s">
        <v>468</v>
      </c>
      <c r="G70" s="138" t="s">
        <v>350</v>
      </c>
      <c r="H70" s="138" t="s">
        <v>469</v>
      </c>
      <c r="I70" s="138" t="s">
        <v>470</v>
      </c>
      <c r="J70" s="138" t="s">
        <v>471</v>
      </c>
    </row>
    <row r="71" spans="1:10">
      <c r="A71" s="141" t="s">
        <v>472</v>
      </c>
      <c r="B71" s="139" t="s">
        <v>443</v>
      </c>
      <c r="C71" s="139" t="s">
        <v>374</v>
      </c>
      <c r="D71" s="139" t="s">
        <v>424</v>
      </c>
      <c r="E71" s="139" t="s">
        <v>417</v>
      </c>
      <c r="F71" s="139" t="s">
        <v>378</v>
      </c>
      <c r="G71" s="139" t="s">
        <v>379</v>
      </c>
      <c r="H71" s="139" t="s">
        <v>421</v>
      </c>
      <c r="I71" s="139" t="s">
        <v>433</v>
      </c>
      <c r="J71" s="139" t="s">
        <v>416</v>
      </c>
    </row>
    <row r="72" spans="1:10">
      <c r="A72" s="141" t="s">
        <v>473</v>
      </c>
      <c r="B72" s="139" t="s">
        <v>372</v>
      </c>
      <c r="C72" s="139" t="s">
        <v>418</v>
      </c>
      <c r="D72" s="139" t="s">
        <v>377</v>
      </c>
      <c r="E72" s="139" t="s">
        <v>375</v>
      </c>
      <c r="F72" s="139" t="s">
        <v>387</v>
      </c>
      <c r="G72" s="139" t="s">
        <v>418</v>
      </c>
      <c r="H72" s="139" t="s">
        <v>393</v>
      </c>
      <c r="I72" s="139" t="s">
        <v>372</v>
      </c>
      <c r="J72" s="139" t="s">
        <v>392</v>
      </c>
    </row>
    <row r="73" spans="1:10">
      <c r="A73" s="141" t="s">
        <v>474</v>
      </c>
      <c r="B73" s="139" t="s">
        <v>421</v>
      </c>
      <c r="C73" s="139" t="s">
        <v>421</v>
      </c>
      <c r="D73" s="139" t="s">
        <v>421</v>
      </c>
      <c r="E73" s="139" t="s">
        <v>374</v>
      </c>
      <c r="F73" s="139" t="s">
        <v>376</v>
      </c>
      <c r="G73" s="139" t="s">
        <v>429</v>
      </c>
      <c r="H73" s="139" t="s">
        <v>380</v>
      </c>
      <c r="I73" s="139" t="s">
        <v>429</v>
      </c>
      <c r="J73" s="139" t="s">
        <v>421</v>
      </c>
    </row>
    <row r="74" spans="1:10">
      <c r="A74" s="141" t="s">
        <v>475</v>
      </c>
      <c r="B74" s="139" t="s">
        <v>351</v>
      </c>
      <c r="C74" s="139" t="s">
        <v>476</v>
      </c>
      <c r="D74" s="139" t="s">
        <v>363</v>
      </c>
      <c r="E74" s="139" t="s">
        <v>477</v>
      </c>
      <c r="F74" s="139" t="s">
        <v>478</v>
      </c>
      <c r="G74" s="139" t="s">
        <v>479</v>
      </c>
      <c r="H74" s="139" t="s">
        <v>480</v>
      </c>
      <c r="I74" s="139" t="s">
        <v>481</v>
      </c>
      <c r="J74" s="139" t="s">
        <v>398</v>
      </c>
    </row>
    <row r="75" spans="1:10">
      <c r="A75" s="141" t="s">
        <v>482</v>
      </c>
      <c r="B75" s="139" t="s">
        <v>326</v>
      </c>
      <c r="C75" s="139" t="s">
        <v>326</v>
      </c>
      <c r="D75" s="139" t="s">
        <v>326</v>
      </c>
      <c r="E75" s="139" t="s">
        <v>326</v>
      </c>
      <c r="F75" s="139" t="s">
        <v>326</v>
      </c>
      <c r="G75" s="139" t="s">
        <v>326</v>
      </c>
      <c r="H75" s="139" t="s">
        <v>325</v>
      </c>
      <c r="I75" s="139" t="s">
        <v>326</v>
      </c>
      <c r="J75" s="139" t="s">
        <v>326</v>
      </c>
    </row>
    <row r="76" spans="1:10">
      <c r="A76" s="141" t="s">
        <v>483</v>
      </c>
      <c r="B76" s="139" t="s">
        <v>415</v>
      </c>
      <c r="C76" s="139" t="s">
        <v>406</v>
      </c>
      <c r="D76" s="139" t="s">
        <v>404</v>
      </c>
      <c r="E76" s="139" t="s">
        <v>421</v>
      </c>
      <c r="F76" s="139" t="s">
        <v>378</v>
      </c>
      <c r="G76" s="139" t="s">
        <v>380</v>
      </c>
      <c r="H76" s="139" t="s">
        <v>380</v>
      </c>
      <c r="I76" s="139" t="s">
        <v>418</v>
      </c>
      <c r="J76" s="139" t="s">
        <v>416</v>
      </c>
    </row>
    <row r="77" spans="1:10">
      <c r="A77" s="141" t="s">
        <v>484</v>
      </c>
      <c r="B77" s="139" t="s">
        <v>389</v>
      </c>
      <c r="C77" s="139" t="s">
        <v>374</v>
      </c>
      <c r="D77" s="139" t="s">
        <v>416</v>
      </c>
      <c r="E77" s="139" t="s">
        <v>384</v>
      </c>
      <c r="F77" s="139" t="s">
        <v>485</v>
      </c>
      <c r="G77" s="139" t="s">
        <v>404</v>
      </c>
      <c r="H77" s="139" t="s">
        <v>374</v>
      </c>
      <c r="I77" s="139" t="s">
        <v>425</v>
      </c>
      <c r="J77" s="139" t="s">
        <v>385</v>
      </c>
    </row>
    <row r="78" spans="1:10">
      <c r="A78" s="141" t="s">
        <v>348</v>
      </c>
      <c r="B78" s="139" t="s">
        <v>337</v>
      </c>
      <c r="C78" s="139" t="s">
        <v>381</v>
      </c>
      <c r="D78" s="139" t="s">
        <v>340</v>
      </c>
      <c r="E78" s="139" t="s">
        <v>372</v>
      </c>
      <c r="F78" s="139" t="s">
        <v>339</v>
      </c>
      <c r="G78" s="139" t="s">
        <v>393</v>
      </c>
      <c r="H78" s="139" t="s">
        <v>337</v>
      </c>
      <c r="I78" s="139" t="s">
        <v>340</v>
      </c>
      <c r="J78" s="139" t="s">
        <v>340</v>
      </c>
    </row>
    <row r="79" spans="1:10">
      <c r="A79" s="141" t="s">
        <v>60</v>
      </c>
      <c r="B79" s="139" t="s">
        <v>325</v>
      </c>
      <c r="C79" s="139" t="s">
        <v>325</v>
      </c>
      <c r="D79" s="139" t="s">
        <v>325</v>
      </c>
      <c r="E79" s="139" t="s">
        <v>327</v>
      </c>
      <c r="F79" s="139" t="s">
        <v>326</v>
      </c>
      <c r="G79" s="139" t="s">
        <v>326</v>
      </c>
      <c r="H79" s="139" t="s">
        <v>337</v>
      </c>
      <c r="I79" s="139" t="s">
        <v>381</v>
      </c>
      <c r="J79" s="139" t="s">
        <v>340</v>
      </c>
    </row>
    <row r="80" spans="1:10" ht="28.2" customHeight="1">
      <c r="A80" s="140" t="s">
        <v>486</v>
      </c>
      <c r="B80" s="138" t="s">
        <v>327</v>
      </c>
      <c r="C80" s="138" t="s">
        <v>327</v>
      </c>
      <c r="D80" s="138" t="s">
        <v>327</v>
      </c>
      <c r="E80" s="138" t="s">
        <v>340</v>
      </c>
      <c r="F80" s="138" t="s">
        <v>340</v>
      </c>
      <c r="G80" s="138" t="s">
        <v>340</v>
      </c>
      <c r="H80" s="138" t="s">
        <v>338</v>
      </c>
      <c r="I80" s="138" t="s">
        <v>339</v>
      </c>
      <c r="J80" s="138" t="s">
        <v>339</v>
      </c>
    </row>
    <row r="81" spans="1:10" ht="28.2" customHeight="1">
      <c r="A81" s="140" t="s">
        <v>487</v>
      </c>
      <c r="B81" s="138" t="s">
        <v>488</v>
      </c>
      <c r="C81" s="138" t="s">
        <v>488</v>
      </c>
      <c r="D81" s="138" t="s">
        <v>488</v>
      </c>
      <c r="E81" s="138" t="s">
        <v>488</v>
      </c>
      <c r="F81" s="138" t="s">
        <v>488</v>
      </c>
      <c r="G81" s="138" t="s">
        <v>488</v>
      </c>
      <c r="H81" s="138" t="s">
        <v>488</v>
      </c>
      <c r="I81" s="138" t="s">
        <v>488</v>
      </c>
      <c r="J81" s="138" t="s">
        <v>488</v>
      </c>
    </row>
    <row r="84" spans="1:10">
      <c r="A84" s="141" t="s">
        <v>489</v>
      </c>
    </row>
  </sheetData>
  <hyperlinks>
    <hyperlink ref="A2" location="Contents!A1" display="(return to contents)"/>
  </hyperlinks>
  <pageMargins left="0.5" right="0.5" top="0.5" bottom="0.5" header="0" footer="0"/>
  <pageSetup paperSize="9" orientation="portrait" horizontalDpi="0" verticalDpi="0" copies="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workbookViewId="0">
      <pane ySplit="6" topLeftCell="A7" activePane="bottomLeft" state="frozen"/>
      <selection pane="bottomLeft" activeCell="A2" sqref="A2"/>
    </sheetView>
  </sheetViews>
  <sheetFormatPr defaultRowHeight="14.15"/>
  <cols>
    <col min="1" max="1" width="39.69140625" style="145" customWidth="1"/>
    <col min="2" max="2" width="10.3046875" style="145" customWidth="1"/>
    <col min="3" max="3" width="11.3046875" style="145" customWidth="1"/>
    <col min="4" max="5" width="13.69140625" style="145" customWidth="1"/>
    <col min="6" max="6" width="11.3046875" style="145" customWidth="1"/>
    <col min="7" max="256" width="8.69140625" style="145"/>
    <col min="257" max="257" width="39.69140625" style="145" customWidth="1"/>
    <col min="258" max="258" width="10.3046875" style="145" customWidth="1"/>
    <col min="259" max="259" width="11.3046875" style="145" customWidth="1"/>
    <col min="260" max="261" width="13.69140625" style="145" customWidth="1"/>
    <col min="262" max="262" width="11.3046875" style="145" customWidth="1"/>
    <col min="263" max="512" width="8.69140625" style="145"/>
    <col min="513" max="513" width="39.69140625" style="145" customWidth="1"/>
    <col min="514" max="514" width="10.3046875" style="145" customWidth="1"/>
    <col min="515" max="515" width="11.3046875" style="145" customWidth="1"/>
    <col min="516" max="517" width="13.69140625" style="145" customWidth="1"/>
    <col min="518" max="518" width="11.3046875" style="145" customWidth="1"/>
    <col min="519" max="768" width="8.69140625" style="145"/>
    <col min="769" max="769" width="39.69140625" style="145" customWidth="1"/>
    <col min="770" max="770" width="10.3046875" style="145" customWidth="1"/>
    <col min="771" max="771" width="11.3046875" style="145" customWidth="1"/>
    <col min="772" max="773" width="13.69140625" style="145" customWidth="1"/>
    <col min="774" max="774" width="11.3046875" style="145" customWidth="1"/>
    <col min="775" max="1024" width="8.69140625" style="145"/>
    <col min="1025" max="1025" width="39.69140625" style="145" customWidth="1"/>
    <col min="1026" max="1026" width="10.3046875" style="145" customWidth="1"/>
    <col min="1027" max="1027" width="11.3046875" style="145" customWidth="1"/>
    <col min="1028" max="1029" width="13.69140625" style="145" customWidth="1"/>
    <col min="1030" max="1030" width="11.3046875" style="145" customWidth="1"/>
    <col min="1031" max="1280" width="8.69140625" style="145"/>
    <col min="1281" max="1281" width="39.69140625" style="145" customWidth="1"/>
    <col min="1282" max="1282" width="10.3046875" style="145" customWidth="1"/>
    <col min="1283" max="1283" width="11.3046875" style="145" customWidth="1"/>
    <col min="1284" max="1285" width="13.69140625" style="145" customWidth="1"/>
    <col min="1286" max="1286" width="11.3046875" style="145" customWidth="1"/>
    <col min="1287" max="1536" width="8.69140625" style="145"/>
    <col min="1537" max="1537" width="39.69140625" style="145" customWidth="1"/>
    <col min="1538" max="1538" width="10.3046875" style="145" customWidth="1"/>
    <col min="1539" max="1539" width="11.3046875" style="145" customWidth="1"/>
    <col min="1540" max="1541" width="13.69140625" style="145" customWidth="1"/>
    <col min="1542" max="1542" width="11.3046875" style="145" customWidth="1"/>
    <col min="1543" max="1792" width="8.69140625" style="145"/>
    <col min="1793" max="1793" width="39.69140625" style="145" customWidth="1"/>
    <col min="1794" max="1794" width="10.3046875" style="145" customWidth="1"/>
    <col min="1795" max="1795" width="11.3046875" style="145" customWidth="1"/>
    <col min="1796" max="1797" width="13.69140625" style="145" customWidth="1"/>
    <col min="1798" max="1798" width="11.3046875" style="145" customWidth="1"/>
    <col min="1799" max="2048" width="8.69140625" style="145"/>
    <col min="2049" max="2049" width="39.69140625" style="145" customWidth="1"/>
    <col min="2050" max="2050" width="10.3046875" style="145" customWidth="1"/>
    <col min="2051" max="2051" width="11.3046875" style="145" customWidth="1"/>
    <col min="2052" max="2053" width="13.69140625" style="145" customWidth="1"/>
    <col min="2054" max="2054" width="11.3046875" style="145" customWidth="1"/>
    <col min="2055" max="2304" width="8.69140625" style="145"/>
    <col min="2305" max="2305" width="39.69140625" style="145" customWidth="1"/>
    <col min="2306" max="2306" width="10.3046875" style="145" customWidth="1"/>
    <col min="2307" max="2307" width="11.3046875" style="145" customWidth="1"/>
    <col min="2308" max="2309" width="13.69140625" style="145" customWidth="1"/>
    <col min="2310" max="2310" width="11.3046875" style="145" customWidth="1"/>
    <col min="2311" max="2560" width="8.69140625" style="145"/>
    <col min="2561" max="2561" width="39.69140625" style="145" customWidth="1"/>
    <col min="2562" max="2562" width="10.3046875" style="145" customWidth="1"/>
    <col min="2563" max="2563" width="11.3046875" style="145" customWidth="1"/>
    <col min="2564" max="2565" width="13.69140625" style="145" customWidth="1"/>
    <col min="2566" max="2566" width="11.3046875" style="145" customWidth="1"/>
    <col min="2567" max="2816" width="8.69140625" style="145"/>
    <col min="2817" max="2817" width="39.69140625" style="145" customWidth="1"/>
    <col min="2818" max="2818" width="10.3046875" style="145" customWidth="1"/>
    <col min="2819" max="2819" width="11.3046875" style="145" customWidth="1"/>
    <col min="2820" max="2821" width="13.69140625" style="145" customWidth="1"/>
    <col min="2822" max="2822" width="11.3046875" style="145" customWidth="1"/>
    <col min="2823" max="3072" width="8.69140625" style="145"/>
    <col min="3073" max="3073" width="39.69140625" style="145" customWidth="1"/>
    <col min="3074" max="3074" width="10.3046875" style="145" customWidth="1"/>
    <col min="3075" max="3075" width="11.3046875" style="145" customWidth="1"/>
    <col min="3076" max="3077" width="13.69140625" style="145" customWidth="1"/>
    <col min="3078" max="3078" width="11.3046875" style="145" customWidth="1"/>
    <col min="3079" max="3328" width="8.69140625" style="145"/>
    <col min="3329" max="3329" width="39.69140625" style="145" customWidth="1"/>
    <col min="3330" max="3330" width="10.3046875" style="145" customWidth="1"/>
    <col min="3331" max="3331" width="11.3046875" style="145" customWidth="1"/>
    <col min="3332" max="3333" width="13.69140625" style="145" customWidth="1"/>
    <col min="3334" max="3334" width="11.3046875" style="145" customWidth="1"/>
    <col min="3335" max="3584" width="8.69140625" style="145"/>
    <col min="3585" max="3585" width="39.69140625" style="145" customWidth="1"/>
    <col min="3586" max="3586" width="10.3046875" style="145" customWidth="1"/>
    <col min="3587" max="3587" width="11.3046875" style="145" customWidth="1"/>
    <col min="3588" max="3589" width="13.69140625" style="145" customWidth="1"/>
    <col min="3590" max="3590" width="11.3046875" style="145" customWidth="1"/>
    <col min="3591" max="3840" width="8.69140625" style="145"/>
    <col min="3841" max="3841" width="39.69140625" style="145" customWidth="1"/>
    <col min="3842" max="3842" width="10.3046875" style="145" customWidth="1"/>
    <col min="3843" max="3843" width="11.3046875" style="145" customWidth="1"/>
    <col min="3844" max="3845" width="13.69140625" style="145" customWidth="1"/>
    <col min="3846" max="3846" width="11.3046875" style="145" customWidth="1"/>
    <col min="3847" max="4096" width="8.69140625" style="145"/>
    <col min="4097" max="4097" width="39.69140625" style="145" customWidth="1"/>
    <col min="4098" max="4098" width="10.3046875" style="145" customWidth="1"/>
    <col min="4099" max="4099" width="11.3046875" style="145" customWidth="1"/>
    <col min="4100" max="4101" width="13.69140625" style="145" customWidth="1"/>
    <col min="4102" max="4102" width="11.3046875" style="145" customWidth="1"/>
    <col min="4103" max="4352" width="8.69140625" style="145"/>
    <col min="4353" max="4353" width="39.69140625" style="145" customWidth="1"/>
    <col min="4354" max="4354" width="10.3046875" style="145" customWidth="1"/>
    <col min="4355" max="4355" width="11.3046875" style="145" customWidth="1"/>
    <col min="4356" max="4357" width="13.69140625" style="145" customWidth="1"/>
    <col min="4358" max="4358" width="11.3046875" style="145" customWidth="1"/>
    <col min="4359" max="4608" width="8.69140625" style="145"/>
    <col min="4609" max="4609" width="39.69140625" style="145" customWidth="1"/>
    <col min="4610" max="4610" width="10.3046875" style="145" customWidth="1"/>
    <col min="4611" max="4611" width="11.3046875" style="145" customWidth="1"/>
    <col min="4612" max="4613" width="13.69140625" style="145" customWidth="1"/>
    <col min="4614" max="4614" width="11.3046875" style="145" customWidth="1"/>
    <col min="4615" max="4864" width="8.69140625" style="145"/>
    <col min="4865" max="4865" width="39.69140625" style="145" customWidth="1"/>
    <col min="4866" max="4866" width="10.3046875" style="145" customWidth="1"/>
    <col min="4867" max="4867" width="11.3046875" style="145" customWidth="1"/>
    <col min="4868" max="4869" width="13.69140625" style="145" customWidth="1"/>
    <col min="4870" max="4870" width="11.3046875" style="145" customWidth="1"/>
    <col min="4871" max="5120" width="8.69140625" style="145"/>
    <col min="5121" max="5121" width="39.69140625" style="145" customWidth="1"/>
    <col min="5122" max="5122" width="10.3046875" style="145" customWidth="1"/>
    <col min="5123" max="5123" width="11.3046875" style="145" customWidth="1"/>
    <col min="5124" max="5125" width="13.69140625" style="145" customWidth="1"/>
    <col min="5126" max="5126" width="11.3046875" style="145" customWidth="1"/>
    <col min="5127" max="5376" width="8.69140625" style="145"/>
    <col min="5377" max="5377" width="39.69140625" style="145" customWidth="1"/>
    <col min="5378" max="5378" width="10.3046875" style="145" customWidth="1"/>
    <col min="5379" max="5379" width="11.3046875" style="145" customWidth="1"/>
    <col min="5380" max="5381" width="13.69140625" style="145" customWidth="1"/>
    <col min="5382" max="5382" width="11.3046875" style="145" customWidth="1"/>
    <col min="5383" max="5632" width="8.69140625" style="145"/>
    <col min="5633" max="5633" width="39.69140625" style="145" customWidth="1"/>
    <col min="5634" max="5634" width="10.3046875" style="145" customWidth="1"/>
    <col min="5635" max="5635" width="11.3046875" style="145" customWidth="1"/>
    <col min="5636" max="5637" width="13.69140625" style="145" customWidth="1"/>
    <col min="5638" max="5638" width="11.3046875" style="145" customWidth="1"/>
    <col min="5639" max="5888" width="8.69140625" style="145"/>
    <col min="5889" max="5889" width="39.69140625" style="145" customWidth="1"/>
    <col min="5890" max="5890" width="10.3046875" style="145" customWidth="1"/>
    <col min="5891" max="5891" width="11.3046875" style="145" customWidth="1"/>
    <col min="5892" max="5893" width="13.69140625" style="145" customWidth="1"/>
    <col min="5894" max="5894" width="11.3046875" style="145" customWidth="1"/>
    <col min="5895" max="6144" width="8.69140625" style="145"/>
    <col min="6145" max="6145" width="39.69140625" style="145" customWidth="1"/>
    <col min="6146" max="6146" width="10.3046875" style="145" customWidth="1"/>
    <col min="6147" max="6147" width="11.3046875" style="145" customWidth="1"/>
    <col min="6148" max="6149" width="13.69140625" style="145" customWidth="1"/>
    <col min="6150" max="6150" width="11.3046875" style="145" customWidth="1"/>
    <col min="6151" max="6400" width="8.69140625" style="145"/>
    <col min="6401" max="6401" width="39.69140625" style="145" customWidth="1"/>
    <col min="6402" max="6402" width="10.3046875" style="145" customWidth="1"/>
    <col min="6403" max="6403" width="11.3046875" style="145" customWidth="1"/>
    <col min="6404" max="6405" width="13.69140625" style="145" customWidth="1"/>
    <col min="6406" max="6406" width="11.3046875" style="145" customWidth="1"/>
    <col min="6407" max="6656" width="8.69140625" style="145"/>
    <col min="6657" max="6657" width="39.69140625" style="145" customWidth="1"/>
    <col min="6658" max="6658" width="10.3046875" style="145" customWidth="1"/>
    <col min="6659" max="6659" width="11.3046875" style="145" customWidth="1"/>
    <col min="6660" max="6661" width="13.69140625" style="145" customWidth="1"/>
    <col min="6662" max="6662" width="11.3046875" style="145" customWidth="1"/>
    <col min="6663" max="6912" width="8.69140625" style="145"/>
    <col min="6913" max="6913" width="39.69140625" style="145" customWidth="1"/>
    <col min="6914" max="6914" width="10.3046875" style="145" customWidth="1"/>
    <col min="6915" max="6915" width="11.3046875" style="145" customWidth="1"/>
    <col min="6916" max="6917" width="13.69140625" style="145" customWidth="1"/>
    <col min="6918" max="6918" width="11.3046875" style="145" customWidth="1"/>
    <col min="6919" max="7168" width="8.69140625" style="145"/>
    <col min="7169" max="7169" width="39.69140625" style="145" customWidth="1"/>
    <col min="7170" max="7170" width="10.3046875" style="145" customWidth="1"/>
    <col min="7171" max="7171" width="11.3046875" style="145" customWidth="1"/>
    <col min="7172" max="7173" width="13.69140625" style="145" customWidth="1"/>
    <col min="7174" max="7174" width="11.3046875" style="145" customWidth="1"/>
    <col min="7175" max="7424" width="8.69140625" style="145"/>
    <col min="7425" max="7425" width="39.69140625" style="145" customWidth="1"/>
    <col min="7426" max="7426" width="10.3046875" style="145" customWidth="1"/>
    <col min="7427" max="7427" width="11.3046875" style="145" customWidth="1"/>
    <col min="7428" max="7429" width="13.69140625" style="145" customWidth="1"/>
    <col min="7430" max="7430" width="11.3046875" style="145" customWidth="1"/>
    <col min="7431" max="7680" width="8.69140625" style="145"/>
    <col min="7681" max="7681" width="39.69140625" style="145" customWidth="1"/>
    <col min="7682" max="7682" width="10.3046875" style="145" customWidth="1"/>
    <col min="7683" max="7683" width="11.3046875" style="145" customWidth="1"/>
    <col min="7684" max="7685" width="13.69140625" style="145" customWidth="1"/>
    <col min="7686" max="7686" width="11.3046875" style="145" customWidth="1"/>
    <col min="7687" max="7936" width="8.69140625" style="145"/>
    <col min="7937" max="7937" width="39.69140625" style="145" customWidth="1"/>
    <col min="7938" max="7938" width="10.3046875" style="145" customWidth="1"/>
    <col min="7939" max="7939" width="11.3046875" style="145" customWidth="1"/>
    <col min="7940" max="7941" width="13.69140625" style="145" customWidth="1"/>
    <col min="7942" max="7942" width="11.3046875" style="145" customWidth="1"/>
    <col min="7943" max="8192" width="8.69140625" style="145"/>
    <col min="8193" max="8193" width="39.69140625" style="145" customWidth="1"/>
    <col min="8194" max="8194" width="10.3046875" style="145" customWidth="1"/>
    <col min="8195" max="8195" width="11.3046875" style="145" customWidth="1"/>
    <col min="8196" max="8197" width="13.69140625" style="145" customWidth="1"/>
    <col min="8198" max="8198" width="11.3046875" style="145" customWidth="1"/>
    <col min="8199" max="8448" width="8.69140625" style="145"/>
    <col min="8449" max="8449" width="39.69140625" style="145" customWidth="1"/>
    <col min="8450" max="8450" width="10.3046875" style="145" customWidth="1"/>
    <col min="8451" max="8451" width="11.3046875" style="145" customWidth="1"/>
    <col min="8452" max="8453" width="13.69140625" style="145" customWidth="1"/>
    <col min="8454" max="8454" width="11.3046875" style="145" customWidth="1"/>
    <col min="8455" max="8704" width="8.69140625" style="145"/>
    <col min="8705" max="8705" width="39.69140625" style="145" customWidth="1"/>
    <col min="8706" max="8706" width="10.3046875" style="145" customWidth="1"/>
    <col min="8707" max="8707" width="11.3046875" style="145" customWidth="1"/>
    <col min="8708" max="8709" width="13.69140625" style="145" customWidth="1"/>
    <col min="8710" max="8710" width="11.3046875" style="145" customWidth="1"/>
    <col min="8711" max="8960" width="8.69140625" style="145"/>
    <col min="8961" max="8961" width="39.69140625" style="145" customWidth="1"/>
    <col min="8962" max="8962" width="10.3046875" style="145" customWidth="1"/>
    <col min="8963" max="8963" width="11.3046875" style="145" customWidth="1"/>
    <col min="8964" max="8965" width="13.69140625" style="145" customWidth="1"/>
    <col min="8966" max="8966" width="11.3046875" style="145" customWidth="1"/>
    <col min="8967" max="9216" width="8.69140625" style="145"/>
    <col min="9217" max="9217" width="39.69140625" style="145" customWidth="1"/>
    <col min="9218" max="9218" width="10.3046875" style="145" customWidth="1"/>
    <col min="9219" max="9219" width="11.3046875" style="145" customWidth="1"/>
    <col min="9220" max="9221" width="13.69140625" style="145" customWidth="1"/>
    <col min="9222" max="9222" width="11.3046875" style="145" customWidth="1"/>
    <col min="9223" max="9472" width="8.69140625" style="145"/>
    <col min="9473" max="9473" width="39.69140625" style="145" customWidth="1"/>
    <col min="9474" max="9474" width="10.3046875" style="145" customWidth="1"/>
    <col min="9475" max="9475" width="11.3046875" style="145" customWidth="1"/>
    <col min="9476" max="9477" width="13.69140625" style="145" customWidth="1"/>
    <col min="9478" max="9478" width="11.3046875" style="145" customWidth="1"/>
    <col min="9479" max="9728" width="8.69140625" style="145"/>
    <col min="9729" max="9729" width="39.69140625" style="145" customWidth="1"/>
    <col min="9730" max="9730" width="10.3046875" style="145" customWidth="1"/>
    <col min="9731" max="9731" width="11.3046875" style="145" customWidth="1"/>
    <col min="9732" max="9733" width="13.69140625" style="145" customWidth="1"/>
    <col min="9734" max="9734" width="11.3046875" style="145" customWidth="1"/>
    <col min="9735" max="9984" width="8.69140625" style="145"/>
    <col min="9985" max="9985" width="39.69140625" style="145" customWidth="1"/>
    <col min="9986" max="9986" width="10.3046875" style="145" customWidth="1"/>
    <col min="9987" max="9987" width="11.3046875" style="145" customWidth="1"/>
    <col min="9988" max="9989" width="13.69140625" style="145" customWidth="1"/>
    <col min="9990" max="9990" width="11.3046875" style="145" customWidth="1"/>
    <col min="9991" max="10240" width="8.69140625" style="145"/>
    <col min="10241" max="10241" width="39.69140625" style="145" customWidth="1"/>
    <col min="10242" max="10242" width="10.3046875" style="145" customWidth="1"/>
    <col min="10243" max="10243" width="11.3046875" style="145" customWidth="1"/>
    <col min="10244" max="10245" width="13.69140625" style="145" customWidth="1"/>
    <col min="10246" max="10246" width="11.3046875" style="145" customWidth="1"/>
    <col min="10247" max="10496" width="8.69140625" style="145"/>
    <col min="10497" max="10497" width="39.69140625" style="145" customWidth="1"/>
    <col min="10498" max="10498" width="10.3046875" style="145" customWidth="1"/>
    <col min="10499" max="10499" width="11.3046875" style="145" customWidth="1"/>
    <col min="10500" max="10501" width="13.69140625" style="145" customWidth="1"/>
    <col min="10502" max="10502" width="11.3046875" style="145" customWidth="1"/>
    <col min="10503" max="10752" width="8.69140625" style="145"/>
    <col min="10753" max="10753" width="39.69140625" style="145" customWidth="1"/>
    <col min="10754" max="10754" width="10.3046875" style="145" customWidth="1"/>
    <col min="10755" max="10755" width="11.3046875" style="145" customWidth="1"/>
    <col min="10756" max="10757" width="13.69140625" style="145" customWidth="1"/>
    <col min="10758" max="10758" width="11.3046875" style="145" customWidth="1"/>
    <col min="10759" max="11008" width="8.69140625" style="145"/>
    <col min="11009" max="11009" width="39.69140625" style="145" customWidth="1"/>
    <col min="11010" max="11010" width="10.3046875" style="145" customWidth="1"/>
    <col min="11011" max="11011" width="11.3046875" style="145" customWidth="1"/>
    <col min="11012" max="11013" width="13.69140625" style="145" customWidth="1"/>
    <col min="11014" max="11014" width="11.3046875" style="145" customWidth="1"/>
    <col min="11015" max="11264" width="8.69140625" style="145"/>
    <col min="11265" max="11265" width="39.69140625" style="145" customWidth="1"/>
    <col min="11266" max="11266" width="10.3046875" style="145" customWidth="1"/>
    <col min="11267" max="11267" width="11.3046875" style="145" customWidth="1"/>
    <col min="11268" max="11269" width="13.69140625" style="145" customWidth="1"/>
    <col min="11270" max="11270" width="11.3046875" style="145" customWidth="1"/>
    <col min="11271" max="11520" width="8.69140625" style="145"/>
    <col min="11521" max="11521" width="39.69140625" style="145" customWidth="1"/>
    <col min="11522" max="11522" width="10.3046875" style="145" customWidth="1"/>
    <col min="11523" max="11523" width="11.3046875" style="145" customWidth="1"/>
    <col min="11524" max="11525" width="13.69140625" style="145" customWidth="1"/>
    <col min="11526" max="11526" width="11.3046875" style="145" customWidth="1"/>
    <col min="11527" max="11776" width="8.69140625" style="145"/>
    <col min="11777" max="11777" width="39.69140625" style="145" customWidth="1"/>
    <col min="11778" max="11778" width="10.3046875" style="145" customWidth="1"/>
    <col min="11779" max="11779" width="11.3046875" style="145" customWidth="1"/>
    <col min="11780" max="11781" width="13.69140625" style="145" customWidth="1"/>
    <col min="11782" max="11782" width="11.3046875" style="145" customWidth="1"/>
    <col min="11783" max="12032" width="8.69140625" style="145"/>
    <col min="12033" max="12033" width="39.69140625" style="145" customWidth="1"/>
    <col min="12034" max="12034" width="10.3046875" style="145" customWidth="1"/>
    <col min="12035" max="12035" width="11.3046875" style="145" customWidth="1"/>
    <col min="12036" max="12037" width="13.69140625" style="145" customWidth="1"/>
    <col min="12038" max="12038" width="11.3046875" style="145" customWidth="1"/>
    <col min="12039" max="12288" width="8.69140625" style="145"/>
    <col min="12289" max="12289" width="39.69140625" style="145" customWidth="1"/>
    <col min="12290" max="12290" width="10.3046875" style="145" customWidth="1"/>
    <col min="12291" max="12291" width="11.3046875" style="145" customWidth="1"/>
    <col min="12292" max="12293" width="13.69140625" style="145" customWidth="1"/>
    <col min="12294" max="12294" width="11.3046875" style="145" customWidth="1"/>
    <col min="12295" max="12544" width="8.69140625" style="145"/>
    <col min="12545" max="12545" width="39.69140625" style="145" customWidth="1"/>
    <col min="12546" max="12546" width="10.3046875" style="145" customWidth="1"/>
    <col min="12547" max="12547" width="11.3046875" style="145" customWidth="1"/>
    <col min="12548" max="12549" width="13.69140625" style="145" customWidth="1"/>
    <col min="12550" max="12550" width="11.3046875" style="145" customWidth="1"/>
    <col min="12551" max="12800" width="8.69140625" style="145"/>
    <col min="12801" max="12801" width="39.69140625" style="145" customWidth="1"/>
    <col min="12802" max="12802" width="10.3046875" style="145" customWidth="1"/>
    <col min="12803" max="12803" width="11.3046875" style="145" customWidth="1"/>
    <col min="12804" max="12805" width="13.69140625" style="145" customWidth="1"/>
    <col min="12806" max="12806" width="11.3046875" style="145" customWidth="1"/>
    <col min="12807" max="13056" width="8.69140625" style="145"/>
    <col min="13057" max="13057" width="39.69140625" style="145" customWidth="1"/>
    <col min="13058" max="13058" width="10.3046875" style="145" customWidth="1"/>
    <col min="13059" max="13059" width="11.3046875" style="145" customWidth="1"/>
    <col min="13060" max="13061" width="13.69140625" style="145" customWidth="1"/>
    <col min="13062" max="13062" width="11.3046875" style="145" customWidth="1"/>
    <col min="13063" max="13312" width="8.69140625" style="145"/>
    <col min="13313" max="13313" width="39.69140625" style="145" customWidth="1"/>
    <col min="13314" max="13314" width="10.3046875" style="145" customWidth="1"/>
    <col min="13315" max="13315" width="11.3046875" style="145" customWidth="1"/>
    <col min="13316" max="13317" width="13.69140625" style="145" customWidth="1"/>
    <col min="13318" max="13318" width="11.3046875" style="145" customWidth="1"/>
    <col min="13319" max="13568" width="8.69140625" style="145"/>
    <col min="13569" max="13569" width="39.69140625" style="145" customWidth="1"/>
    <col min="13570" max="13570" width="10.3046875" style="145" customWidth="1"/>
    <col min="13571" max="13571" width="11.3046875" style="145" customWidth="1"/>
    <col min="13572" max="13573" width="13.69140625" style="145" customWidth="1"/>
    <col min="13574" max="13574" width="11.3046875" style="145" customWidth="1"/>
    <col min="13575" max="13824" width="8.69140625" style="145"/>
    <col min="13825" max="13825" width="39.69140625" style="145" customWidth="1"/>
    <col min="13826" max="13826" width="10.3046875" style="145" customWidth="1"/>
    <col min="13827" max="13827" width="11.3046875" style="145" customWidth="1"/>
    <col min="13828" max="13829" width="13.69140625" style="145" customWidth="1"/>
    <col min="13830" max="13830" width="11.3046875" style="145" customWidth="1"/>
    <col min="13831" max="14080" width="8.69140625" style="145"/>
    <col min="14081" max="14081" width="39.69140625" style="145" customWidth="1"/>
    <col min="14082" max="14082" width="10.3046875" style="145" customWidth="1"/>
    <col min="14083" max="14083" width="11.3046875" style="145" customWidth="1"/>
    <col min="14084" max="14085" width="13.69140625" style="145" customWidth="1"/>
    <col min="14086" max="14086" width="11.3046875" style="145" customWidth="1"/>
    <col min="14087" max="14336" width="8.69140625" style="145"/>
    <col min="14337" max="14337" width="39.69140625" style="145" customWidth="1"/>
    <col min="14338" max="14338" width="10.3046875" style="145" customWidth="1"/>
    <col min="14339" max="14339" width="11.3046875" style="145" customWidth="1"/>
    <col min="14340" max="14341" width="13.69140625" style="145" customWidth="1"/>
    <col min="14342" max="14342" width="11.3046875" style="145" customWidth="1"/>
    <col min="14343" max="14592" width="8.69140625" style="145"/>
    <col min="14593" max="14593" width="39.69140625" style="145" customWidth="1"/>
    <col min="14594" max="14594" width="10.3046875" style="145" customWidth="1"/>
    <col min="14595" max="14595" width="11.3046875" style="145" customWidth="1"/>
    <col min="14596" max="14597" width="13.69140625" style="145" customWidth="1"/>
    <col min="14598" max="14598" width="11.3046875" style="145" customWidth="1"/>
    <col min="14599" max="14848" width="8.69140625" style="145"/>
    <col min="14849" max="14849" width="39.69140625" style="145" customWidth="1"/>
    <col min="14850" max="14850" width="10.3046875" style="145" customWidth="1"/>
    <col min="14851" max="14851" width="11.3046875" style="145" customWidth="1"/>
    <col min="14852" max="14853" width="13.69140625" style="145" customWidth="1"/>
    <col min="14854" max="14854" width="11.3046875" style="145" customWidth="1"/>
    <col min="14855" max="15104" width="8.69140625" style="145"/>
    <col min="15105" max="15105" width="39.69140625" style="145" customWidth="1"/>
    <col min="15106" max="15106" width="10.3046875" style="145" customWidth="1"/>
    <col min="15107" max="15107" width="11.3046875" style="145" customWidth="1"/>
    <col min="15108" max="15109" width="13.69140625" style="145" customWidth="1"/>
    <col min="15110" max="15110" width="11.3046875" style="145" customWidth="1"/>
    <col min="15111" max="15360" width="8.69140625" style="145"/>
    <col min="15361" max="15361" width="39.69140625" style="145" customWidth="1"/>
    <col min="15362" max="15362" width="10.3046875" style="145" customWidth="1"/>
    <col min="15363" max="15363" width="11.3046875" style="145" customWidth="1"/>
    <col min="15364" max="15365" width="13.69140625" style="145" customWidth="1"/>
    <col min="15366" max="15366" width="11.3046875" style="145" customWidth="1"/>
    <col min="15367" max="15616" width="8.69140625" style="145"/>
    <col min="15617" max="15617" width="39.69140625" style="145" customWidth="1"/>
    <col min="15618" max="15618" width="10.3046875" style="145" customWidth="1"/>
    <col min="15619" max="15619" width="11.3046875" style="145" customWidth="1"/>
    <col min="15620" max="15621" width="13.69140625" style="145" customWidth="1"/>
    <col min="15622" max="15622" width="11.3046875" style="145" customWidth="1"/>
    <col min="15623" max="15872" width="8.69140625" style="145"/>
    <col min="15873" max="15873" width="39.69140625" style="145" customWidth="1"/>
    <col min="15874" max="15874" width="10.3046875" style="145" customWidth="1"/>
    <col min="15875" max="15875" width="11.3046875" style="145" customWidth="1"/>
    <col min="15876" max="15877" width="13.69140625" style="145" customWidth="1"/>
    <col min="15878" max="15878" width="11.3046875" style="145" customWidth="1"/>
    <col min="15879" max="16128" width="8.69140625" style="145"/>
    <col min="16129" max="16129" width="39.69140625" style="145" customWidth="1"/>
    <col min="16130" max="16130" width="10.3046875" style="145" customWidth="1"/>
    <col min="16131" max="16131" width="11.3046875" style="145" customWidth="1"/>
    <col min="16132" max="16133" width="13.69140625" style="145" customWidth="1"/>
    <col min="16134" max="16134" width="11.3046875" style="145" customWidth="1"/>
    <col min="16135" max="16384" width="8.69140625" style="145"/>
  </cols>
  <sheetData>
    <row r="1" spans="1:7" ht="68.150000000000006" customHeight="1">
      <c r="A1" s="485" t="s">
        <v>295</v>
      </c>
      <c r="B1" s="485"/>
      <c r="C1" s="485"/>
      <c r="D1" s="485"/>
      <c r="E1" s="485"/>
      <c r="F1" s="485"/>
      <c r="G1" s="485"/>
    </row>
    <row r="2" spans="1:7" s="161" customFormat="1" ht="14.6">
      <c r="A2" s="9" t="s">
        <v>820</v>
      </c>
    </row>
    <row r="3" spans="1:7" ht="22.95" customHeight="1">
      <c r="A3" s="147" t="s">
        <v>511</v>
      </c>
    </row>
    <row r="4" spans="1:7" ht="12.75" customHeight="1">
      <c r="A4" s="148" t="s">
        <v>490</v>
      </c>
    </row>
    <row r="5" spans="1:7" ht="25.95" customHeight="1">
      <c r="A5" s="149" t="s">
        <v>512</v>
      </c>
    </row>
    <row r="6" spans="1:7" ht="34.200000000000003" customHeight="1">
      <c r="A6" s="150"/>
      <c r="B6" s="151" t="s">
        <v>491</v>
      </c>
      <c r="C6" s="151" t="s">
        <v>492</v>
      </c>
      <c r="D6" s="151" t="s">
        <v>493</v>
      </c>
      <c r="E6" s="151" t="s">
        <v>494</v>
      </c>
      <c r="F6" s="151" t="s">
        <v>495</v>
      </c>
    </row>
    <row r="7" spans="1:7" ht="14.7" customHeight="1">
      <c r="A7" s="486" t="s">
        <v>496</v>
      </c>
      <c r="B7" s="486"/>
      <c r="C7" s="486"/>
      <c r="D7" s="486"/>
      <c r="E7" s="486"/>
      <c r="F7" s="486"/>
    </row>
    <row r="8" spans="1:7" ht="12.75" customHeight="1">
      <c r="A8" s="152" t="s">
        <v>497</v>
      </c>
    </row>
    <row r="9" spans="1:7" ht="12.75" customHeight="1">
      <c r="A9" s="153" t="s">
        <v>498</v>
      </c>
      <c r="B9" s="154">
        <v>358.4</v>
      </c>
      <c r="C9" s="154">
        <v>0</v>
      </c>
      <c r="D9" s="154">
        <v>0</v>
      </c>
      <c r="E9" s="154">
        <v>0</v>
      </c>
      <c r="F9" s="154">
        <v>358.4</v>
      </c>
    </row>
    <row r="10" spans="1:7" ht="12.75" customHeight="1">
      <c r="A10" s="153" t="s">
        <v>499</v>
      </c>
      <c r="B10" s="154">
        <v>2046.8</v>
      </c>
      <c r="C10" s="154">
        <v>1.3</v>
      </c>
      <c r="D10" s="154">
        <v>7.5</v>
      </c>
      <c r="E10" s="154">
        <v>0</v>
      </c>
      <c r="F10" s="154">
        <v>2055.5</v>
      </c>
    </row>
    <row r="11" spans="1:7" ht="12.75" customHeight="1">
      <c r="A11" s="153" t="s">
        <v>500</v>
      </c>
      <c r="B11" s="154">
        <v>1025.7</v>
      </c>
      <c r="C11" s="154">
        <v>3.3</v>
      </c>
      <c r="D11" s="154">
        <v>146.9</v>
      </c>
      <c r="E11" s="154">
        <v>0</v>
      </c>
      <c r="F11" s="154">
        <v>1175.9000000000001</v>
      </c>
    </row>
    <row r="12" spans="1:7" ht="12.75" customHeight="1">
      <c r="A12" s="153" t="s">
        <v>501</v>
      </c>
      <c r="B12" s="154">
        <v>1196.3</v>
      </c>
      <c r="C12" s="154"/>
      <c r="D12" s="154"/>
      <c r="E12" s="154"/>
      <c r="F12" s="154">
        <v>1265</v>
      </c>
    </row>
    <row r="13" spans="1:7" ht="12.75" customHeight="1">
      <c r="A13" s="153" t="s">
        <v>502</v>
      </c>
      <c r="B13" s="154">
        <v>1527.3</v>
      </c>
      <c r="C13" s="154">
        <v>16</v>
      </c>
      <c r="D13" s="154"/>
      <c r="E13" s="154"/>
      <c r="F13" s="154">
        <v>1551.8</v>
      </c>
    </row>
    <row r="14" spans="1:7" ht="12.75" customHeight="1">
      <c r="A14" s="153" t="s">
        <v>503</v>
      </c>
      <c r="B14" s="154">
        <v>1032</v>
      </c>
      <c r="C14" s="154">
        <v>274.39999999999998</v>
      </c>
      <c r="D14" s="154"/>
      <c r="E14" s="154"/>
      <c r="F14" s="154">
        <v>1311</v>
      </c>
    </row>
    <row r="15" spans="1:7" ht="12.75" customHeight="1">
      <c r="A15" s="153" t="s">
        <v>504</v>
      </c>
      <c r="B15" s="154">
        <v>640</v>
      </c>
      <c r="C15" s="154"/>
      <c r="D15" s="154">
        <v>2.7</v>
      </c>
      <c r="E15" s="154"/>
      <c r="F15" s="154">
        <v>648.70000000000005</v>
      </c>
    </row>
    <row r="16" spans="1:7" ht="12.75" customHeight="1">
      <c r="A16" s="153" t="s">
        <v>505</v>
      </c>
      <c r="B16" s="154">
        <v>849.9</v>
      </c>
      <c r="C16" s="154">
        <v>60</v>
      </c>
      <c r="D16" s="154">
        <v>5.2</v>
      </c>
      <c r="E16" s="154">
        <v>8.6999999999999993</v>
      </c>
      <c r="F16" s="154">
        <v>923.7</v>
      </c>
    </row>
    <row r="17" spans="1:6" ht="12.75" customHeight="1">
      <c r="A17" s="155" t="s">
        <v>506</v>
      </c>
      <c r="B17" s="156">
        <v>8676.4</v>
      </c>
      <c r="C17" s="156">
        <v>415.1</v>
      </c>
      <c r="D17" s="156">
        <v>188.9</v>
      </c>
      <c r="E17" s="156">
        <v>9.8000000000000007</v>
      </c>
      <c r="F17" s="156">
        <v>9290.1</v>
      </c>
    </row>
    <row r="18" spans="1:6" ht="12.75" customHeight="1">
      <c r="A18" s="152" t="s">
        <v>507</v>
      </c>
    </row>
    <row r="19" spans="1:6" ht="12.75" customHeight="1">
      <c r="A19" s="153" t="s">
        <v>498</v>
      </c>
      <c r="B19" s="157">
        <v>2079.1</v>
      </c>
      <c r="C19" s="157">
        <v>0</v>
      </c>
      <c r="D19" s="157">
        <v>0</v>
      </c>
      <c r="E19" s="157">
        <v>0</v>
      </c>
      <c r="F19" s="157">
        <v>2079.1</v>
      </c>
    </row>
    <row r="20" spans="1:6" ht="12.75" customHeight="1">
      <c r="A20" s="153" t="s">
        <v>499</v>
      </c>
      <c r="B20" s="157">
        <v>1606.1</v>
      </c>
      <c r="C20" s="157">
        <v>224.6</v>
      </c>
      <c r="D20" s="157">
        <v>704.2</v>
      </c>
      <c r="E20" s="157">
        <v>0</v>
      </c>
      <c r="F20" s="157">
        <v>1602</v>
      </c>
    </row>
    <row r="21" spans="1:6" ht="12.75" customHeight="1">
      <c r="A21" s="153" t="s">
        <v>500</v>
      </c>
      <c r="B21" s="157">
        <v>1436.3</v>
      </c>
      <c r="C21" s="157">
        <v>363.7</v>
      </c>
      <c r="D21" s="157">
        <v>723.2</v>
      </c>
      <c r="E21" s="157">
        <v>0</v>
      </c>
      <c r="F21" s="157">
        <v>1344.2</v>
      </c>
    </row>
    <row r="22" spans="1:6" ht="12.75" customHeight="1">
      <c r="A22" s="153" t="s">
        <v>501</v>
      </c>
      <c r="B22" s="157">
        <v>806.9</v>
      </c>
      <c r="C22" s="157"/>
      <c r="D22" s="157"/>
      <c r="E22" s="157"/>
      <c r="F22" s="157">
        <v>775.9</v>
      </c>
    </row>
    <row r="23" spans="1:6" ht="12.75" customHeight="1">
      <c r="A23" s="153" t="s">
        <v>502</v>
      </c>
      <c r="B23" s="157">
        <v>1048.9000000000001</v>
      </c>
      <c r="C23" s="157"/>
      <c r="D23" s="157">
        <v>568.6</v>
      </c>
      <c r="E23" s="157"/>
      <c r="F23" s="157">
        <v>1039</v>
      </c>
    </row>
    <row r="24" spans="1:6" ht="12.75" customHeight="1">
      <c r="A24" s="153" t="s">
        <v>503</v>
      </c>
      <c r="B24" s="157">
        <v>763.2</v>
      </c>
      <c r="C24" s="157">
        <v>212.1</v>
      </c>
      <c r="D24" s="157"/>
      <c r="E24" s="157"/>
      <c r="F24" s="157">
        <v>646.4</v>
      </c>
    </row>
    <row r="25" spans="1:6" ht="12.75" customHeight="1">
      <c r="A25" s="153" t="s">
        <v>504</v>
      </c>
      <c r="B25" s="157">
        <v>1343.8</v>
      </c>
      <c r="C25" s="157"/>
      <c r="D25" s="157">
        <v>1404.3</v>
      </c>
      <c r="E25" s="157"/>
      <c r="F25" s="157">
        <v>1333.6</v>
      </c>
    </row>
    <row r="26" spans="1:6" ht="12.75" customHeight="1">
      <c r="A26" s="153" t="s">
        <v>505</v>
      </c>
      <c r="B26" s="157">
        <v>864.3</v>
      </c>
      <c r="C26" s="157">
        <v>234.5</v>
      </c>
      <c r="D26" s="157">
        <v>590.5</v>
      </c>
      <c r="E26" s="157">
        <v>134</v>
      </c>
      <c r="F26" s="157">
        <v>815</v>
      </c>
    </row>
    <row r="27" spans="1:6" ht="12.75" customHeight="1">
      <c r="A27" s="155" t="s">
        <v>506</v>
      </c>
      <c r="B27" s="158">
        <v>1205</v>
      </c>
      <c r="C27" s="158">
        <v>219.3</v>
      </c>
      <c r="D27" s="158">
        <v>691.2</v>
      </c>
      <c r="E27" s="158">
        <v>140.1</v>
      </c>
      <c r="F27" s="158">
        <v>1149.4000000000001</v>
      </c>
    </row>
    <row r="28" spans="1:6" ht="12.75" customHeight="1">
      <c r="A28" s="152" t="s">
        <v>513</v>
      </c>
    </row>
    <row r="29" spans="1:6" ht="12.75" customHeight="1">
      <c r="A29" s="153" t="s">
        <v>498</v>
      </c>
      <c r="B29" s="154">
        <v>37</v>
      </c>
      <c r="C29" s="154">
        <v>0</v>
      </c>
      <c r="D29" s="154">
        <v>0</v>
      </c>
      <c r="E29" s="154">
        <v>0</v>
      </c>
      <c r="F29" s="154">
        <v>37</v>
      </c>
    </row>
    <row r="30" spans="1:6" ht="12.75" customHeight="1">
      <c r="A30" s="153" t="s">
        <v>499</v>
      </c>
      <c r="B30" s="154">
        <v>31.8</v>
      </c>
      <c r="C30" s="154">
        <v>12.5</v>
      </c>
      <c r="D30" s="154">
        <v>26.4</v>
      </c>
      <c r="E30" s="154">
        <v>0</v>
      </c>
      <c r="F30" s="154">
        <v>31.8</v>
      </c>
    </row>
    <row r="31" spans="1:6" ht="12.75" customHeight="1">
      <c r="A31" s="153" t="s">
        <v>500</v>
      </c>
      <c r="B31" s="154">
        <v>37.4</v>
      </c>
      <c r="C31" s="154">
        <v>22.1</v>
      </c>
      <c r="D31" s="154">
        <v>39.9</v>
      </c>
      <c r="E31" s="154">
        <v>0</v>
      </c>
      <c r="F31" s="154">
        <v>37.6</v>
      </c>
    </row>
    <row r="32" spans="1:6" ht="12.75" customHeight="1">
      <c r="A32" s="153" t="s">
        <v>501</v>
      </c>
      <c r="B32" s="154">
        <v>25.7</v>
      </c>
      <c r="C32" s="154"/>
      <c r="D32" s="154"/>
      <c r="E32" s="154"/>
      <c r="F32" s="154">
        <v>25.1</v>
      </c>
    </row>
    <row r="33" spans="1:6" ht="12.75" customHeight="1">
      <c r="A33" s="153" t="s">
        <v>502</v>
      </c>
      <c r="B33" s="154">
        <v>31.6</v>
      </c>
      <c r="C33" s="154"/>
      <c r="D33" s="154"/>
      <c r="E33" s="154"/>
      <c r="F33" s="154">
        <v>31.5</v>
      </c>
    </row>
    <row r="34" spans="1:6" ht="12.75" customHeight="1">
      <c r="A34" s="153" t="s">
        <v>503</v>
      </c>
      <c r="B34" s="154">
        <v>27.7</v>
      </c>
      <c r="C34" s="154">
        <v>12.9</v>
      </c>
      <c r="D34" s="154"/>
      <c r="E34" s="154"/>
      <c r="F34" s="154">
        <v>24.6</v>
      </c>
    </row>
    <row r="35" spans="1:6" ht="12.75" customHeight="1">
      <c r="A35" s="153" t="s">
        <v>504</v>
      </c>
      <c r="B35" s="154">
        <v>39.700000000000003</v>
      </c>
      <c r="C35" s="154"/>
      <c r="D35" s="154">
        <v>45.9</v>
      </c>
      <c r="E35" s="154"/>
      <c r="F35" s="154">
        <v>39.4</v>
      </c>
    </row>
    <row r="36" spans="1:6" ht="12.75" customHeight="1">
      <c r="A36" s="153" t="s">
        <v>505</v>
      </c>
      <c r="B36" s="154">
        <v>30.4</v>
      </c>
      <c r="C36" s="154">
        <v>14.6</v>
      </c>
      <c r="D36" s="154">
        <v>29.9</v>
      </c>
      <c r="E36" s="154">
        <v>22.7</v>
      </c>
      <c r="F36" s="154">
        <v>29.3</v>
      </c>
    </row>
    <row r="37" spans="1:6" ht="12.75" customHeight="1">
      <c r="A37" s="155" t="s">
        <v>506</v>
      </c>
      <c r="B37" s="156">
        <v>31.8</v>
      </c>
      <c r="C37" s="156">
        <v>13.4</v>
      </c>
      <c r="D37" s="156">
        <v>37.1</v>
      </c>
      <c r="E37" s="156">
        <v>21.5</v>
      </c>
      <c r="F37" s="156">
        <v>31</v>
      </c>
    </row>
    <row r="38" spans="1:6" ht="12.75" customHeight="1">
      <c r="A38" s="152" t="s">
        <v>514</v>
      </c>
    </row>
    <row r="39" spans="1:6" ht="12.75" customHeight="1">
      <c r="A39" s="153" t="s">
        <v>498</v>
      </c>
      <c r="B39" s="157">
        <v>56.2</v>
      </c>
      <c r="C39" s="157">
        <v>0</v>
      </c>
      <c r="D39" s="157">
        <v>0</v>
      </c>
      <c r="E39" s="157">
        <v>0</v>
      </c>
      <c r="F39" s="157">
        <v>56.2</v>
      </c>
    </row>
    <row r="40" spans="1:6" ht="12.75" customHeight="1">
      <c r="A40" s="153" t="s">
        <v>499</v>
      </c>
      <c r="B40" s="157">
        <v>50.5</v>
      </c>
      <c r="C40" s="157">
        <v>18</v>
      </c>
      <c r="D40" s="157">
        <v>26.7</v>
      </c>
      <c r="E40" s="157">
        <v>0</v>
      </c>
      <c r="F40" s="157">
        <v>50.4</v>
      </c>
    </row>
    <row r="41" spans="1:6" ht="12.75" customHeight="1">
      <c r="A41" s="153" t="s">
        <v>500</v>
      </c>
      <c r="B41" s="157">
        <v>38.4</v>
      </c>
      <c r="C41" s="157">
        <v>16.399999999999999</v>
      </c>
      <c r="D41" s="157">
        <v>18.100000000000001</v>
      </c>
      <c r="E41" s="157">
        <v>0</v>
      </c>
      <c r="F41" s="157">
        <v>35.700000000000003</v>
      </c>
    </row>
    <row r="42" spans="1:6" ht="12.75" customHeight="1">
      <c r="A42" s="153" t="s">
        <v>501</v>
      </c>
      <c r="B42" s="157">
        <v>31.4</v>
      </c>
      <c r="C42" s="157"/>
      <c r="D42" s="157"/>
      <c r="E42" s="157"/>
      <c r="F42" s="157">
        <v>30.9</v>
      </c>
    </row>
    <row r="43" spans="1:6" ht="12.75" customHeight="1">
      <c r="A43" s="153" t="s">
        <v>502</v>
      </c>
      <c r="B43" s="157">
        <v>33.200000000000003</v>
      </c>
      <c r="C43" s="157"/>
      <c r="D43" s="157"/>
      <c r="E43" s="157"/>
      <c r="F43" s="157">
        <v>33</v>
      </c>
    </row>
    <row r="44" spans="1:6" ht="12.75" customHeight="1">
      <c r="A44" s="153" t="s">
        <v>503</v>
      </c>
      <c r="B44" s="157">
        <v>27.6</v>
      </c>
      <c r="C44" s="157">
        <v>16.399999999999999</v>
      </c>
      <c r="D44" s="157"/>
      <c r="E44" s="157"/>
      <c r="F44" s="157">
        <v>26.3</v>
      </c>
    </row>
    <row r="45" spans="1:6" ht="12.75" customHeight="1">
      <c r="A45" s="153" t="s">
        <v>504</v>
      </c>
      <c r="B45" s="157">
        <v>33.9</v>
      </c>
      <c r="C45" s="157"/>
      <c r="D45" s="157">
        <v>30.6</v>
      </c>
      <c r="E45" s="157"/>
      <c r="F45" s="157">
        <v>33.799999999999997</v>
      </c>
    </row>
    <row r="46" spans="1:6" ht="12.75" customHeight="1">
      <c r="A46" s="153" t="s">
        <v>505</v>
      </c>
      <c r="B46" s="157">
        <v>28.4</v>
      </c>
      <c r="C46" s="157">
        <v>16</v>
      </c>
      <c r="D46" s="157">
        <v>19.8</v>
      </c>
      <c r="E46" s="157">
        <v>5.9</v>
      </c>
      <c r="F46" s="157">
        <v>27.8</v>
      </c>
    </row>
    <row r="47" spans="1:6" ht="12.75" customHeight="1">
      <c r="A47" s="155" t="s">
        <v>506</v>
      </c>
      <c r="B47" s="158">
        <v>37.9</v>
      </c>
      <c r="C47" s="158">
        <v>16.399999999999999</v>
      </c>
      <c r="D47" s="158">
        <v>18.600000000000001</v>
      </c>
      <c r="E47" s="158">
        <v>6.5</v>
      </c>
      <c r="F47" s="158">
        <v>37</v>
      </c>
    </row>
    <row r="48" spans="1:6" ht="14.7" customHeight="1">
      <c r="A48" s="486" t="s">
        <v>508</v>
      </c>
      <c r="B48" s="486"/>
      <c r="C48" s="486"/>
      <c r="D48" s="486"/>
      <c r="E48" s="486"/>
      <c r="F48" s="486"/>
    </row>
    <row r="49" spans="1:6" ht="12.75" customHeight="1">
      <c r="A49" s="152" t="s">
        <v>497</v>
      </c>
    </row>
    <row r="50" spans="1:6" ht="12.75" customHeight="1">
      <c r="A50" s="153" t="s">
        <v>498</v>
      </c>
      <c r="B50" s="154">
        <v>51</v>
      </c>
      <c r="C50" s="154">
        <v>0</v>
      </c>
      <c r="D50" s="154">
        <v>0</v>
      </c>
      <c r="E50" s="154">
        <v>0</v>
      </c>
      <c r="F50" s="154">
        <v>51</v>
      </c>
    </row>
    <row r="51" spans="1:6" ht="12.75" customHeight="1">
      <c r="A51" s="153" t="s">
        <v>499</v>
      </c>
      <c r="B51" s="154">
        <v>44.9</v>
      </c>
      <c r="C51" s="154">
        <v>0.7</v>
      </c>
      <c r="D51" s="154">
        <v>2</v>
      </c>
      <c r="E51" s="154">
        <v>0</v>
      </c>
      <c r="F51" s="154">
        <v>44.7</v>
      </c>
    </row>
    <row r="52" spans="1:6" ht="12.75" customHeight="1">
      <c r="A52" s="153" t="s">
        <v>500</v>
      </c>
      <c r="B52" s="154">
        <v>33.799999999999997</v>
      </c>
      <c r="C52" s="154">
        <v>1.3</v>
      </c>
      <c r="D52" s="154">
        <v>13</v>
      </c>
      <c r="E52" s="154">
        <v>0</v>
      </c>
      <c r="F52" s="154">
        <v>38.5</v>
      </c>
    </row>
    <row r="53" spans="1:6" ht="12.75" customHeight="1">
      <c r="A53" s="153" t="s">
        <v>501</v>
      </c>
      <c r="B53" s="154">
        <v>43.6</v>
      </c>
      <c r="C53" s="154"/>
      <c r="D53" s="154"/>
      <c r="E53" s="154"/>
      <c r="F53" s="154">
        <v>45.2</v>
      </c>
    </row>
    <row r="54" spans="1:6" ht="12.75" customHeight="1">
      <c r="A54" s="153" t="s">
        <v>502</v>
      </c>
      <c r="B54" s="154">
        <v>31.2</v>
      </c>
      <c r="C54" s="154">
        <v>2.7</v>
      </c>
      <c r="D54" s="154"/>
      <c r="E54" s="154"/>
      <c r="F54" s="154">
        <v>31.6</v>
      </c>
    </row>
    <row r="55" spans="1:6" ht="12.75" customHeight="1">
      <c r="A55" s="153" t="s">
        <v>503</v>
      </c>
      <c r="B55" s="154">
        <v>50.5</v>
      </c>
      <c r="C55" s="154">
        <v>28.8</v>
      </c>
      <c r="D55" s="154"/>
      <c r="E55" s="154"/>
      <c r="F55" s="154">
        <v>71.8</v>
      </c>
    </row>
    <row r="56" spans="1:6" ht="12.75" customHeight="1">
      <c r="A56" s="153" t="s">
        <v>504</v>
      </c>
      <c r="B56" s="154">
        <v>27.4</v>
      </c>
      <c r="C56" s="154"/>
      <c r="D56" s="154">
        <v>0.7</v>
      </c>
      <c r="E56" s="154"/>
      <c r="F56" s="154">
        <v>27.6</v>
      </c>
    </row>
    <row r="57" spans="1:6" ht="12.75" customHeight="1">
      <c r="A57" s="153" t="s">
        <v>505</v>
      </c>
      <c r="B57" s="154">
        <v>38.700000000000003</v>
      </c>
      <c r="C57" s="154">
        <v>8.1</v>
      </c>
      <c r="D57" s="154">
        <v>1.7</v>
      </c>
      <c r="E57" s="154">
        <v>1.7</v>
      </c>
      <c r="F57" s="154">
        <v>38.799999999999997</v>
      </c>
    </row>
    <row r="58" spans="1:6" ht="12.75" customHeight="1">
      <c r="A58" s="155" t="s">
        <v>506</v>
      </c>
      <c r="B58" s="156">
        <v>114.9</v>
      </c>
      <c r="C58" s="156">
        <v>36.5</v>
      </c>
      <c r="D58" s="156">
        <v>14.6</v>
      </c>
      <c r="E58" s="156">
        <v>1.7</v>
      </c>
      <c r="F58" s="156">
        <v>127.7</v>
      </c>
    </row>
    <row r="59" spans="1:6" ht="12.75" customHeight="1">
      <c r="A59" s="152" t="s">
        <v>507</v>
      </c>
    </row>
    <row r="60" spans="1:6" ht="12.75" customHeight="1">
      <c r="A60" s="153" t="s">
        <v>498</v>
      </c>
      <c r="B60" s="157">
        <v>35.299999999999997</v>
      </c>
      <c r="C60" s="157">
        <v>0</v>
      </c>
      <c r="D60" s="157">
        <v>0</v>
      </c>
      <c r="E60" s="157">
        <v>0</v>
      </c>
      <c r="F60" s="157">
        <v>35.299999999999997</v>
      </c>
    </row>
    <row r="61" spans="1:6" ht="12.75" customHeight="1">
      <c r="A61" s="153" t="s">
        <v>499</v>
      </c>
      <c r="B61" s="157">
        <v>18.8</v>
      </c>
      <c r="C61" s="157">
        <v>132.9</v>
      </c>
      <c r="D61" s="157">
        <v>115</v>
      </c>
      <c r="E61" s="157">
        <v>0</v>
      </c>
      <c r="F61" s="157">
        <v>18.8</v>
      </c>
    </row>
    <row r="62" spans="1:6" ht="12.75" customHeight="1">
      <c r="A62" s="153" t="s">
        <v>500</v>
      </c>
      <c r="B62" s="157">
        <v>21.8</v>
      </c>
      <c r="C62" s="157">
        <v>109.2</v>
      </c>
      <c r="D62" s="157">
        <v>26.8</v>
      </c>
      <c r="E62" s="157">
        <v>0</v>
      </c>
      <c r="F62" s="157">
        <v>20.7</v>
      </c>
    </row>
    <row r="63" spans="1:6" ht="12.75" customHeight="1">
      <c r="A63" s="153" t="s">
        <v>501</v>
      </c>
      <c r="B63" s="157">
        <v>13.1</v>
      </c>
      <c r="C63" s="157"/>
      <c r="D63" s="157"/>
      <c r="E63" s="157"/>
      <c r="F63" s="157">
        <v>12.7</v>
      </c>
    </row>
    <row r="64" spans="1:6" ht="12.75" customHeight="1">
      <c r="A64" s="153" t="s">
        <v>502</v>
      </c>
      <c r="B64" s="157">
        <v>10.8</v>
      </c>
      <c r="C64" s="157"/>
      <c r="D64" s="157">
        <v>174.2</v>
      </c>
      <c r="E64" s="157"/>
      <c r="F64" s="157">
        <v>10.8</v>
      </c>
    </row>
    <row r="65" spans="1:6" ht="12.75" customHeight="1">
      <c r="A65" s="153" t="s">
        <v>503</v>
      </c>
      <c r="B65" s="157">
        <v>16.8</v>
      </c>
      <c r="C65" s="157">
        <v>12.7</v>
      </c>
      <c r="D65" s="157"/>
      <c r="E65" s="157"/>
      <c r="F65" s="157">
        <v>19.5</v>
      </c>
    </row>
    <row r="66" spans="1:6" ht="12.75" customHeight="1">
      <c r="A66" s="153" t="s">
        <v>504</v>
      </c>
      <c r="B66" s="157">
        <v>33.9</v>
      </c>
      <c r="C66" s="157"/>
      <c r="D66" s="157">
        <v>106.8</v>
      </c>
      <c r="E66" s="157"/>
      <c r="F66" s="157">
        <v>34.6</v>
      </c>
    </row>
    <row r="67" spans="1:6" ht="12.75" customHeight="1">
      <c r="A67" s="153" t="s">
        <v>505</v>
      </c>
      <c r="B67" s="157">
        <v>17.3</v>
      </c>
      <c r="C67" s="157">
        <v>27.7</v>
      </c>
      <c r="D67" s="157">
        <v>76.900000000000006</v>
      </c>
      <c r="E67" s="157">
        <v>13.1</v>
      </c>
      <c r="F67" s="157">
        <v>17.100000000000001</v>
      </c>
    </row>
    <row r="68" spans="1:6" ht="12.75" customHeight="1">
      <c r="A68" s="155" t="s">
        <v>506</v>
      </c>
      <c r="B68" s="158">
        <v>10.3</v>
      </c>
      <c r="C68" s="158">
        <v>11.1</v>
      </c>
      <c r="D68" s="158">
        <v>25.4</v>
      </c>
      <c r="E68" s="158">
        <v>14.2</v>
      </c>
      <c r="F68" s="158">
        <v>11.3</v>
      </c>
    </row>
    <row r="69" spans="1:6" ht="12.75" customHeight="1">
      <c r="A69" s="152" t="s">
        <v>513</v>
      </c>
    </row>
    <row r="70" spans="1:6" ht="12.75" customHeight="1">
      <c r="A70" s="153" t="s">
        <v>498</v>
      </c>
      <c r="B70" s="154">
        <v>0.2</v>
      </c>
      <c r="C70" s="154">
        <v>0</v>
      </c>
      <c r="D70" s="154">
        <v>0</v>
      </c>
      <c r="E70" s="154">
        <v>0</v>
      </c>
      <c r="F70" s="154">
        <v>0.2</v>
      </c>
    </row>
    <row r="71" spans="1:6" ht="12.75" customHeight="1">
      <c r="A71" s="153" t="s">
        <v>499</v>
      </c>
      <c r="B71" s="154">
        <v>0.3</v>
      </c>
      <c r="C71" s="154">
        <v>7.8</v>
      </c>
      <c r="D71" s="154">
        <v>3.7</v>
      </c>
      <c r="E71" s="154">
        <v>0</v>
      </c>
      <c r="F71" s="154">
        <v>0.3</v>
      </c>
    </row>
    <row r="72" spans="1:6" ht="12.75" customHeight="1">
      <c r="A72" s="153" t="s">
        <v>500</v>
      </c>
      <c r="B72" s="154">
        <v>0.3</v>
      </c>
      <c r="C72" s="154">
        <v>5.9</v>
      </c>
      <c r="D72" s="154">
        <v>0.5</v>
      </c>
      <c r="E72" s="154">
        <v>0</v>
      </c>
      <c r="F72" s="154">
        <v>0.3</v>
      </c>
    </row>
    <row r="73" spans="1:6" ht="12.75" customHeight="1">
      <c r="A73" s="153" t="s">
        <v>501</v>
      </c>
      <c r="B73" s="154">
        <v>0.3</v>
      </c>
      <c r="C73" s="154"/>
      <c r="D73" s="154"/>
      <c r="E73" s="154"/>
      <c r="F73" s="154">
        <v>0.3</v>
      </c>
    </row>
    <row r="74" spans="1:6" ht="12.75" customHeight="1">
      <c r="A74" s="153" t="s">
        <v>502</v>
      </c>
      <c r="B74" s="154">
        <v>0.2</v>
      </c>
      <c r="C74" s="154"/>
      <c r="D74" s="154"/>
      <c r="E74" s="154"/>
      <c r="F74" s="154">
        <v>0.2</v>
      </c>
    </row>
    <row r="75" spans="1:6" ht="12.75" customHeight="1">
      <c r="A75" s="153" t="s">
        <v>503</v>
      </c>
      <c r="B75" s="154">
        <v>0.4</v>
      </c>
      <c r="C75" s="154">
        <v>0.6</v>
      </c>
      <c r="D75" s="154"/>
      <c r="E75" s="154"/>
      <c r="F75" s="154">
        <v>0.5</v>
      </c>
    </row>
    <row r="76" spans="1:6" ht="12.75" customHeight="1">
      <c r="A76" s="153" t="s">
        <v>504</v>
      </c>
      <c r="B76" s="154">
        <v>0.4</v>
      </c>
      <c r="C76" s="154"/>
      <c r="D76" s="154">
        <v>5.0999999999999996</v>
      </c>
      <c r="E76" s="154"/>
      <c r="F76" s="154">
        <v>0.4</v>
      </c>
    </row>
    <row r="77" spans="1:6" ht="12.75" customHeight="1">
      <c r="A77" s="153" t="s">
        <v>505</v>
      </c>
      <c r="B77" s="154">
        <v>0.5</v>
      </c>
      <c r="C77" s="154">
        <v>1.5</v>
      </c>
      <c r="D77" s="154">
        <v>3.2</v>
      </c>
      <c r="E77" s="154">
        <v>1.5</v>
      </c>
      <c r="F77" s="154">
        <v>0.5</v>
      </c>
    </row>
    <row r="78" spans="1:6" ht="12.75" customHeight="1">
      <c r="A78" s="155" t="s">
        <v>506</v>
      </c>
      <c r="B78" s="156">
        <v>0.1</v>
      </c>
      <c r="C78" s="156">
        <v>0.5</v>
      </c>
      <c r="D78" s="156">
        <v>0.8</v>
      </c>
      <c r="E78" s="156">
        <v>1.5</v>
      </c>
      <c r="F78" s="156">
        <v>0.2</v>
      </c>
    </row>
    <row r="79" spans="1:6" ht="12.75" customHeight="1">
      <c r="A79" s="152" t="s">
        <v>514</v>
      </c>
    </row>
    <row r="80" spans="1:6" ht="12.75" customHeight="1">
      <c r="A80" s="153" t="s">
        <v>498</v>
      </c>
      <c r="B80" s="157">
        <v>0.9</v>
      </c>
      <c r="C80" s="157">
        <v>0</v>
      </c>
      <c r="D80" s="157">
        <v>0</v>
      </c>
      <c r="E80" s="157">
        <v>0</v>
      </c>
      <c r="F80" s="157">
        <v>0.9</v>
      </c>
    </row>
    <row r="81" spans="1:6" ht="12.75" customHeight="1">
      <c r="A81" s="153" t="s">
        <v>499</v>
      </c>
      <c r="B81" s="157">
        <v>0.5</v>
      </c>
      <c r="C81" s="157">
        <v>1</v>
      </c>
      <c r="D81" s="157">
        <v>2.4</v>
      </c>
      <c r="E81" s="157">
        <v>0</v>
      </c>
      <c r="F81" s="157">
        <v>0.5</v>
      </c>
    </row>
    <row r="82" spans="1:6" ht="12.75" customHeight="1">
      <c r="A82" s="153" t="s">
        <v>500</v>
      </c>
      <c r="B82" s="157">
        <v>0.5</v>
      </c>
      <c r="C82" s="157">
        <v>1.4</v>
      </c>
      <c r="D82" s="157">
        <v>0.5</v>
      </c>
      <c r="E82" s="157">
        <v>0</v>
      </c>
      <c r="F82" s="157">
        <v>0.5</v>
      </c>
    </row>
    <row r="83" spans="1:6" ht="12.75" customHeight="1">
      <c r="A83" s="153" t="s">
        <v>501</v>
      </c>
      <c r="B83" s="157">
        <v>0.3</v>
      </c>
      <c r="C83" s="157"/>
      <c r="D83" s="157"/>
      <c r="E83" s="157"/>
      <c r="F83" s="157">
        <v>0.3</v>
      </c>
    </row>
    <row r="84" spans="1:6" ht="12.75" customHeight="1">
      <c r="A84" s="153" t="s">
        <v>502</v>
      </c>
      <c r="B84" s="157">
        <v>0.2</v>
      </c>
      <c r="C84" s="157"/>
      <c r="D84" s="157"/>
      <c r="E84" s="157"/>
      <c r="F84" s="157">
        <v>0.2</v>
      </c>
    </row>
    <row r="85" spans="1:6" ht="12.75" customHeight="1">
      <c r="A85" s="153" t="s">
        <v>503</v>
      </c>
      <c r="B85" s="157">
        <v>0.3</v>
      </c>
      <c r="C85" s="157">
        <v>0.3</v>
      </c>
      <c r="D85" s="157"/>
      <c r="E85" s="157"/>
      <c r="F85" s="157">
        <v>0.3</v>
      </c>
    </row>
    <row r="86" spans="1:6" ht="12.75" customHeight="1">
      <c r="A86" s="153" t="s">
        <v>504</v>
      </c>
      <c r="B86" s="157">
        <v>0.7</v>
      </c>
      <c r="C86" s="157"/>
      <c r="D86" s="157">
        <v>3.2</v>
      </c>
      <c r="E86" s="157"/>
      <c r="F86" s="157">
        <v>0.7</v>
      </c>
    </row>
    <row r="87" spans="1:6" ht="12.75" customHeight="1">
      <c r="A87" s="153" t="s">
        <v>505</v>
      </c>
      <c r="B87" s="157">
        <v>0.3</v>
      </c>
      <c r="C87" s="157">
        <v>0.5</v>
      </c>
      <c r="D87" s="157">
        <v>1.2</v>
      </c>
      <c r="E87" s="157">
        <v>0.6</v>
      </c>
      <c r="F87" s="157">
        <v>0.3</v>
      </c>
    </row>
    <row r="88" spans="1:6" ht="12.75" customHeight="1">
      <c r="A88" s="155" t="s">
        <v>506</v>
      </c>
      <c r="B88" s="158">
        <v>0.3</v>
      </c>
      <c r="C88" s="158">
        <v>0.3</v>
      </c>
      <c r="D88" s="158">
        <v>0.5</v>
      </c>
      <c r="E88" s="158">
        <v>0.8</v>
      </c>
      <c r="F88" s="158">
        <v>0.3</v>
      </c>
    </row>
    <row r="91" spans="1:6" ht="12.75" customHeight="1">
      <c r="A91" s="146" t="s">
        <v>509</v>
      </c>
    </row>
  </sheetData>
  <mergeCells count="3">
    <mergeCell ref="A1:G1"/>
    <mergeCell ref="A7:F7"/>
    <mergeCell ref="A48:F48"/>
  </mergeCells>
  <hyperlinks>
    <hyperlink ref="A91" r:id="rId1"/>
    <hyperlink ref="A2" location="Contents!A1" display="(return to contents)"/>
  </hyperlinks>
  <pageMargins left="0.7" right="0.7" top="0.75" bottom="0.75" header="0.3" footer="0.3"/>
  <pageSetup paperSize="9" orientation="portrait" horizontalDpi="300" verticalDpi="3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A2" sqref="A2"/>
    </sheetView>
  </sheetViews>
  <sheetFormatPr defaultColWidth="8.69140625" defaultRowHeight="14.6"/>
  <cols>
    <col min="1" max="16384" width="8.69140625" style="161"/>
  </cols>
  <sheetData>
    <row r="1" spans="1:11" ht="17.600000000000001">
      <c r="A1" s="333" t="s">
        <v>743</v>
      </c>
      <c r="B1" s="213"/>
      <c r="C1" s="213"/>
      <c r="D1" s="213"/>
      <c r="E1" s="213"/>
      <c r="F1" s="213"/>
      <c r="G1" s="213"/>
      <c r="H1" s="213"/>
      <c r="I1" s="213"/>
      <c r="J1" s="213"/>
      <c r="K1" s="213"/>
    </row>
    <row r="2" spans="1:11">
      <c r="A2" s="9" t="s">
        <v>820</v>
      </c>
    </row>
    <row r="3" spans="1:11" customFormat="1"/>
    <row r="4" spans="1:11" ht="15.45">
      <c r="A4" s="487" t="s">
        <v>612</v>
      </c>
      <c r="B4" s="487"/>
      <c r="C4" s="487"/>
      <c r="D4" s="487"/>
      <c r="E4" s="487"/>
      <c r="F4" s="487"/>
      <c r="G4" s="487"/>
      <c r="H4" s="487"/>
      <c r="I4" s="487"/>
      <c r="J4" s="487"/>
      <c r="K4" s="487"/>
    </row>
    <row r="6" spans="1:11" ht="63">
      <c r="A6" s="212"/>
      <c r="B6" s="211" t="s">
        <v>611</v>
      </c>
      <c r="C6" s="211" t="s">
        <v>610</v>
      </c>
      <c r="E6" s="161" t="s">
        <v>609</v>
      </c>
    </row>
    <row r="7" spans="1:11">
      <c r="A7" s="206" t="s">
        <v>94</v>
      </c>
      <c r="B7" s="210" t="s">
        <v>163</v>
      </c>
      <c r="C7" s="210" t="s">
        <v>163</v>
      </c>
    </row>
    <row r="8" spans="1:11">
      <c r="A8" s="206" t="s">
        <v>165</v>
      </c>
      <c r="B8" s="205" t="s">
        <v>40</v>
      </c>
      <c r="C8" s="205" t="s">
        <v>40</v>
      </c>
    </row>
    <row r="9" spans="1:11">
      <c r="A9" s="206" t="s">
        <v>166</v>
      </c>
      <c r="B9" s="205" t="s">
        <v>608</v>
      </c>
      <c r="C9" s="205" t="s">
        <v>608</v>
      </c>
    </row>
    <row r="10" spans="1:11">
      <c r="A10" s="206" t="s">
        <v>170</v>
      </c>
      <c r="B10" s="205" t="s">
        <v>171</v>
      </c>
      <c r="C10" s="205" t="s">
        <v>171</v>
      </c>
    </row>
    <row r="11" spans="1:11">
      <c r="A11" s="206" t="s">
        <v>172</v>
      </c>
      <c r="B11" s="207">
        <v>2</v>
      </c>
      <c r="C11" s="207">
        <v>2</v>
      </c>
    </row>
    <row r="12" spans="1:11">
      <c r="A12" s="209" t="s">
        <v>173</v>
      </c>
      <c r="B12" s="208">
        <v>41852</v>
      </c>
      <c r="C12" s="208">
        <v>41852</v>
      </c>
    </row>
    <row r="13" spans="1:11">
      <c r="A13" s="209" t="s">
        <v>174</v>
      </c>
      <c r="B13" s="208">
        <v>42856</v>
      </c>
      <c r="C13" s="208">
        <v>42856</v>
      </c>
    </row>
    <row r="14" spans="1:11">
      <c r="A14" s="206" t="s">
        <v>175</v>
      </c>
      <c r="B14" s="207">
        <v>12</v>
      </c>
      <c r="C14" s="207">
        <v>12</v>
      </c>
    </row>
    <row r="15" spans="1:11">
      <c r="A15" s="206" t="s">
        <v>176</v>
      </c>
      <c r="B15" s="205" t="s">
        <v>607</v>
      </c>
      <c r="C15" s="205" t="s">
        <v>606</v>
      </c>
    </row>
    <row r="16" spans="1:11">
      <c r="A16" s="204">
        <v>41852</v>
      </c>
      <c r="B16" s="203">
        <v>7252.2988476999999</v>
      </c>
      <c r="C16" s="203">
        <v>2304.6789152000001</v>
      </c>
      <c r="E16" s="2">
        <f t="shared" ref="E16:E27" si="0">C16/(C16+B16)*100</f>
        <v>24.115143640353736</v>
      </c>
    </row>
    <row r="17" spans="1:5">
      <c r="A17" s="204">
        <v>41944</v>
      </c>
      <c r="B17" s="203">
        <v>7266.5867470000003</v>
      </c>
      <c r="C17" s="203">
        <v>2327.7389321999999</v>
      </c>
      <c r="E17" s="2">
        <f t="shared" si="0"/>
        <v>24.261620983394565</v>
      </c>
    </row>
    <row r="18" spans="1:5">
      <c r="A18" s="204">
        <v>42036</v>
      </c>
      <c r="B18" s="203">
        <v>7377.4855484</v>
      </c>
      <c r="C18" s="203">
        <v>2312.0642628000001</v>
      </c>
      <c r="E18" s="2">
        <f t="shared" si="0"/>
        <v>23.861420890034754</v>
      </c>
    </row>
    <row r="19" spans="1:5">
      <c r="A19" s="204">
        <v>42125</v>
      </c>
      <c r="B19" s="203">
        <v>7325.1067813</v>
      </c>
      <c r="C19" s="203">
        <v>2467.7262962999998</v>
      </c>
      <c r="E19" s="2">
        <f t="shared" si="0"/>
        <v>25.199309298395427</v>
      </c>
    </row>
    <row r="20" spans="1:5">
      <c r="A20" s="204">
        <v>42217</v>
      </c>
      <c r="B20" s="203">
        <v>7299.4048689000001</v>
      </c>
      <c r="C20" s="203">
        <v>2363.8421794000001</v>
      </c>
      <c r="E20" s="2">
        <f t="shared" si="0"/>
        <v>24.46219337645784</v>
      </c>
    </row>
    <row r="21" spans="1:5">
      <c r="A21" s="204">
        <v>42309</v>
      </c>
      <c r="B21" s="203">
        <v>7446.8206657000001</v>
      </c>
      <c r="C21" s="203">
        <v>2398.4413616000002</v>
      </c>
      <c r="E21" s="2">
        <f t="shared" si="0"/>
        <v>24.361376619020849</v>
      </c>
    </row>
    <row r="22" spans="1:5">
      <c r="A22" s="204">
        <v>42401</v>
      </c>
      <c r="B22" s="203">
        <v>7524.6642701000001</v>
      </c>
      <c r="C22" s="203">
        <v>2321.8852396000002</v>
      </c>
      <c r="E22" s="2">
        <f t="shared" si="0"/>
        <v>23.58069938421243</v>
      </c>
    </row>
    <row r="23" spans="1:5">
      <c r="A23" s="204">
        <v>42491</v>
      </c>
      <c r="B23" s="203">
        <v>7370.8385060999999</v>
      </c>
      <c r="C23" s="203">
        <v>2524.2343148</v>
      </c>
      <c r="E23" s="2">
        <f t="shared" si="0"/>
        <v>25.51001251318138</v>
      </c>
    </row>
    <row r="24" spans="1:5">
      <c r="A24" s="204">
        <v>42583</v>
      </c>
      <c r="B24" s="203">
        <v>7353.5718698000001</v>
      </c>
      <c r="C24" s="203">
        <v>2466.4059990000001</v>
      </c>
      <c r="E24" s="2">
        <f t="shared" si="0"/>
        <v>25.116207306701337</v>
      </c>
    </row>
    <row r="25" spans="1:5">
      <c r="A25" s="204">
        <v>42675</v>
      </c>
      <c r="B25" s="203">
        <v>7427.5486773000002</v>
      </c>
      <c r="C25" s="203">
        <v>2540.0906206</v>
      </c>
      <c r="E25" s="2">
        <f t="shared" si="0"/>
        <v>25.483372187586589</v>
      </c>
    </row>
    <row r="26" spans="1:5">
      <c r="A26" s="204">
        <v>42767</v>
      </c>
      <c r="B26" s="203">
        <v>7540.2351163000003</v>
      </c>
      <c r="C26" s="203">
        <v>2471.1594258</v>
      </c>
      <c r="E26" s="2">
        <f t="shared" si="0"/>
        <v>24.683468575813887</v>
      </c>
    </row>
    <row r="27" spans="1:5">
      <c r="A27" s="204">
        <v>42856</v>
      </c>
      <c r="B27" s="203">
        <v>7584.9163618000002</v>
      </c>
      <c r="C27" s="203">
        <v>2533.6239224000001</v>
      </c>
      <c r="E27" s="2">
        <f t="shared" si="0"/>
        <v>25.039421213316988</v>
      </c>
    </row>
  </sheetData>
  <mergeCells count="1">
    <mergeCell ref="A4:K4"/>
  </mergeCells>
  <hyperlinks>
    <hyperlink ref="A2" location="Contents!A1" display="(return to contents)"/>
  </hyperlinks>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
    </sheetView>
  </sheetViews>
  <sheetFormatPr defaultColWidth="8.69140625" defaultRowHeight="14.15"/>
  <cols>
    <col min="1" max="1" width="31.53515625" style="145" customWidth="1"/>
    <col min="2" max="16384" width="8.69140625" style="145"/>
  </cols>
  <sheetData>
    <row r="1" spans="1:2" ht="20.149999999999999">
      <c r="A1" s="74" t="s">
        <v>1082</v>
      </c>
    </row>
    <row r="3" spans="1:2" ht="14.6">
      <c r="A3" s="9" t="s">
        <v>820</v>
      </c>
    </row>
    <row r="5" spans="1:2">
      <c r="A5" s="145" t="s">
        <v>1034</v>
      </c>
    </row>
    <row r="7" spans="1:2">
      <c r="A7" s="145">
        <v>12</v>
      </c>
      <c r="B7" s="145">
        <v>0.32500000000000001</v>
      </c>
    </row>
    <row r="8" spans="1:2">
      <c r="A8" s="145">
        <v>23</v>
      </c>
      <c r="B8" s="145">
        <v>0.4</v>
      </c>
    </row>
    <row r="9" spans="1:2">
      <c r="A9" s="145">
        <v>37</v>
      </c>
      <c r="B9" s="145">
        <v>0.15</v>
      </c>
    </row>
    <row r="10" spans="1:2">
      <c r="A10" s="145">
        <v>52</v>
      </c>
      <c r="B10" s="145">
        <v>6.5000000000000002E-2</v>
      </c>
    </row>
    <row r="11" spans="1:2">
      <c r="A11" s="145">
        <v>70</v>
      </c>
      <c r="B11" s="145">
        <v>0.06</v>
      </c>
    </row>
    <row r="12" spans="1:2">
      <c r="B12" s="145">
        <f>SUM(B7:B11)</f>
        <v>1.0000000000000002</v>
      </c>
    </row>
    <row r="14" spans="1:2">
      <c r="A14" s="145" t="s">
        <v>1083</v>
      </c>
      <c r="B14" s="421">
        <f t="array" ref="B14">SUM((A7:A11)*(B7:B11))</f>
        <v>26.23</v>
      </c>
    </row>
  </sheetData>
  <hyperlinks>
    <hyperlink ref="A3" location="Contents!A1" display="(return to contents)"/>
  </hyperlinks>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3" sqref="A3"/>
    </sheetView>
  </sheetViews>
  <sheetFormatPr defaultColWidth="8.69140625" defaultRowHeight="14.15"/>
  <cols>
    <col min="1" max="1" width="53.69140625" style="145" customWidth="1"/>
    <col min="2" max="2" width="21" style="145" customWidth="1"/>
    <col min="3" max="3" width="8.69140625" style="145"/>
    <col min="4" max="4" width="21.53515625" style="145" customWidth="1"/>
    <col min="5" max="5" width="17.3046875" style="145" customWidth="1"/>
    <col min="6" max="16384" width="8.69140625" style="145"/>
  </cols>
  <sheetData>
    <row r="1" spans="1:2" ht="20.149999999999999">
      <c r="A1" s="74" t="s">
        <v>1084</v>
      </c>
    </row>
    <row r="3" spans="1:2" ht="14.6">
      <c r="A3" s="9" t="s">
        <v>820</v>
      </c>
    </row>
    <row r="5" spans="1:2">
      <c r="B5" s="145" t="s">
        <v>1038</v>
      </c>
    </row>
    <row r="6" spans="1:2" ht="14.6">
      <c r="A6" s="145" t="s">
        <v>1037</v>
      </c>
      <c r="B6" s="423">
        <v>138719045</v>
      </c>
    </row>
    <row r="7" spans="1:2" ht="14.6">
      <c r="A7" s="145" t="s">
        <v>1036</v>
      </c>
      <c r="B7" s="423">
        <v>30085563</v>
      </c>
    </row>
    <row r="8" spans="1:2">
      <c r="A8" s="145" t="s">
        <v>1085</v>
      </c>
      <c r="B8" s="457">
        <f>B6+B7</f>
        <v>168804608</v>
      </c>
    </row>
    <row r="9" spans="1:2">
      <c r="B9" s="422"/>
    </row>
    <row r="10" spans="1:2">
      <c r="A10" s="145" t="s">
        <v>1035</v>
      </c>
    </row>
  </sheetData>
  <hyperlinks>
    <hyperlink ref="A3" location="Contents!A1" display="(return to contents)"/>
  </hyperlink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pane xSplit="1" ySplit="3" topLeftCell="B4" activePane="bottomRight" state="frozen"/>
      <selection activeCell="A4" sqref="A4"/>
      <selection pane="topRight" activeCell="A4" sqref="A4"/>
      <selection pane="bottomLeft" activeCell="A4" sqref="A4"/>
      <selection pane="bottomRight" activeCell="A3" sqref="A3"/>
    </sheetView>
  </sheetViews>
  <sheetFormatPr defaultColWidth="9.53515625" defaultRowHeight="12.45"/>
  <cols>
    <col min="1" max="1" width="37.69140625" style="175" customWidth="1"/>
    <col min="2" max="16384" width="9.53515625" style="175"/>
  </cols>
  <sheetData>
    <row r="1" spans="1:10" ht="20.149999999999999">
      <c r="A1" s="74" t="s">
        <v>1086</v>
      </c>
    </row>
    <row r="2" spans="1:10" ht="14.15">
      <c r="A2" s="145"/>
    </row>
    <row r="3" spans="1:10" ht="14.6">
      <c r="A3" s="9" t="s">
        <v>820</v>
      </c>
    </row>
    <row r="5" spans="1:10">
      <c r="A5" s="428" t="s">
        <v>1072</v>
      </c>
    </row>
    <row r="7" spans="1:10" ht="12.9">
      <c r="A7" s="436" t="s">
        <v>1071</v>
      </c>
      <c r="B7" s="440"/>
      <c r="C7" s="440"/>
      <c r="D7" s="440"/>
      <c r="E7" s="440"/>
      <c r="F7" s="440"/>
      <c r="G7" s="440"/>
      <c r="H7" s="440"/>
      <c r="I7" s="440"/>
      <c r="J7" s="440"/>
    </row>
    <row r="8" spans="1:10">
      <c r="A8" s="440"/>
      <c r="B8" s="427" t="s">
        <v>26</v>
      </c>
      <c r="C8" s="427" t="s">
        <v>27</v>
      </c>
      <c r="D8" s="427" t="s">
        <v>28</v>
      </c>
      <c r="E8" s="427" t="s">
        <v>29</v>
      </c>
      <c r="F8" s="427" t="s">
        <v>30</v>
      </c>
      <c r="G8" s="427" t="s">
        <v>31</v>
      </c>
      <c r="H8" s="427" t="s">
        <v>33</v>
      </c>
      <c r="I8" s="427" t="s">
        <v>1013</v>
      </c>
      <c r="J8" s="427" t="s">
        <v>11</v>
      </c>
    </row>
    <row r="9" spans="1:10" s="433" customFormat="1" ht="12" customHeight="1">
      <c r="A9" s="433" t="s">
        <v>1070</v>
      </c>
      <c r="B9" s="438">
        <v>11093.199999999999</v>
      </c>
      <c r="C9" s="438">
        <v>13885.95</v>
      </c>
      <c r="D9" s="438">
        <v>12942.9</v>
      </c>
      <c r="E9" s="438">
        <v>13353</v>
      </c>
      <c r="F9" s="438">
        <v>14557.4</v>
      </c>
      <c r="G9" s="438">
        <v>13515.800000000001</v>
      </c>
      <c r="H9" s="438">
        <v>8533.4</v>
      </c>
      <c r="I9" s="438">
        <v>3238.65</v>
      </c>
      <c r="J9" s="439">
        <v>91120.299999999988</v>
      </c>
    </row>
    <row r="10" spans="1:10" s="433" customFormat="1" ht="12" customHeight="1">
      <c r="A10" s="433" t="s">
        <v>1069</v>
      </c>
      <c r="B10" s="438">
        <v>3.6516014352019481</v>
      </c>
      <c r="C10" s="438">
        <v>4.0253797541743976</v>
      </c>
      <c r="D10" s="438">
        <v>4.0723994713989056</v>
      </c>
      <c r="E10" s="438">
        <v>4.3173073814219665</v>
      </c>
      <c r="F10" s="438">
        <v>5.3253585016095988</v>
      </c>
      <c r="G10" s="438">
        <v>6.7079259516601324</v>
      </c>
      <c r="H10" s="438">
        <v>8.2241711642251349</v>
      </c>
      <c r="I10" s="438">
        <v>9.2374500855675983</v>
      </c>
      <c r="J10" s="438">
        <v>4.8233746572514464</v>
      </c>
    </row>
    <row r="11" spans="1:10" s="433" customFormat="1" ht="12" customHeight="1">
      <c r="A11" s="433" t="s">
        <v>1050</v>
      </c>
      <c r="B11" s="438">
        <f t="shared" ref="B11:J11" si="0">B9/$J9*100</f>
        <v>12.174235598434159</v>
      </c>
      <c r="C11" s="438">
        <f t="shared" si="0"/>
        <v>15.239139906255799</v>
      </c>
      <c r="D11" s="438">
        <f t="shared" si="0"/>
        <v>14.204189406751297</v>
      </c>
      <c r="E11" s="438">
        <f t="shared" si="0"/>
        <v>14.654253772211023</v>
      </c>
      <c r="F11" s="438">
        <f t="shared" si="0"/>
        <v>15.976022905982532</v>
      </c>
      <c r="G11" s="438">
        <f t="shared" si="0"/>
        <v>14.832918680030687</v>
      </c>
      <c r="H11" s="438">
        <f t="shared" si="0"/>
        <v>9.3649823365375244</v>
      </c>
      <c r="I11" s="438">
        <f t="shared" si="0"/>
        <v>3.5542573937969917</v>
      </c>
      <c r="J11" s="438">
        <f t="shared" si="0"/>
        <v>100</v>
      </c>
    </row>
    <row r="12" spans="1:10" s="433" customFormat="1" ht="12" customHeight="1">
      <c r="B12" s="438"/>
      <c r="C12" s="438"/>
      <c r="D12" s="438"/>
      <c r="E12" s="438"/>
      <c r="F12" s="438"/>
      <c r="G12" s="438"/>
      <c r="H12" s="438"/>
      <c r="I12" s="438"/>
      <c r="J12" s="438"/>
    </row>
    <row r="13" spans="1:10" s="433" customFormat="1" ht="12" customHeight="1">
      <c r="A13" s="433" t="s">
        <v>1068</v>
      </c>
      <c r="B13" s="427" t="s">
        <v>1047</v>
      </c>
      <c r="C13" s="427" t="s">
        <v>1046</v>
      </c>
      <c r="D13" s="427" t="s">
        <v>1067</v>
      </c>
      <c r="E13" s="427" t="s">
        <v>1044</v>
      </c>
      <c r="F13" s="427" t="s">
        <v>1043</v>
      </c>
      <c r="G13" s="438"/>
      <c r="H13" s="438"/>
      <c r="I13" s="438"/>
      <c r="J13" s="438"/>
    </row>
    <row r="14" spans="1:10" s="433" customFormat="1" ht="12" customHeight="1">
      <c r="A14" s="433" t="s">
        <v>1066</v>
      </c>
      <c r="B14" s="438">
        <f>B9</f>
        <v>11093.199999999999</v>
      </c>
      <c r="C14" s="438">
        <f>C9+D9</f>
        <v>26828.85</v>
      </c>
      <c r="D14" s="438">
        <f>E9+F9</f>
        <v>27910.400000000001</v>
      </c>
      <c r="E14" s="438">
        <f>G9</f>
        <v>13515.800000000001</v>
      </c>
      <c r="F14" s="438">
        <f>H9+I9</f>
        <v>11772.05</v>
      </c>
      <c r="G14" s="438"/>
      <c r="H14" s="438"/>
      <c r="I14" s="438"/>
      <c r="J14" s="438"/>
    </row>
    <row r="15" spans="1:10" s="433" customFormat="1" ht="12" customHeight="1">
      <c r="A15" s="433" t="s">
        <v>1065</v>
      </c>
      <c r="B15" s="438">
        <f>B14/SUM($B14:$F14)*100</f>
        <v>12.174235598434157</v>
      </c>
      <c r="C15" s="438">
        <f>C14/SUM($B14:$F14)*100</f>
        <v>29.443329313007087</v>
      </c>
      <c r="D15" s="438">
        <f>D14/SUM($B14:$F14)*100</f>
        <v>30.630276678193553</v>
      </c>
      <c r="E15" s="438">
        <f>E14/SUM($B14:$F14)*100</f>
        <v>14.832918680030685</v>
      </c>
      <c r="F15" s="438">
        <f>F14/SUM($B14:$F14)*100</f>
        <v>12.919239730334512</v>
      </c>
      <c r="G15" s="438"/>
      <c r="H15" s="438"/>
      <c r="I15" s="438"/>
      <c r="J15" s="438"/>
    </row>
    <row r="16" spans="1:10">
      <c r="A16" s="437"/>
      <c r="B16" s="432"/>
      <c r="C16" s="432"/>
      <c r="D16" s="432"/>
      <c r="E16" s="432"/>
      <c r="F16" s="432"/>
      <c r="G16" s="432"/>
      <c r="H16" s="432"/>
      <c r="I16" s="432"/>
      <c r="J16" s="432"/>
    </row>
    <row r="17" spans="1:10" ht="12.9">
      <c r="A17" s="436" t="s">
        <v>1064</v>
      </c>
      <c r="B17" s="434"/>
      <c r="C17" s="434"/>
      <c r="D17" s="434"/>
      <c r="E17" s="434"/>
      <c r="F17" s="434"/>
      <c r="G17" s="434"/>
      <c r="H17" s="434"/>
      <c r="I17" s="434"/>
      <c r="J17" s="434"/>
    </row>
    <row r="18" spans="1:10">
      <c r="A18" s="433" t="s">
        <v>1063</v>
      </c>
      <c r="B18" s="435">
        <v>2319.1999999999998</v>
      </c>
      <c r="C18" s="435">
        <v>3271.6</v>
      </c>
      <c r="D18" s="435">
        <v>3251.55</v>
      </c>
      <c r="E18" s="435">
        <v>3186</v>
      </c>
      <c r="F18" s="435">
        <v>3748.2</v>
      </c>
      <c r="G18" s="435">
        <v>3437.45</v>
      </c>
      <c r="H18" s="435">
        <v>2104.4</v>
      </c>
      <c r="I18" s="435">
        <v>662.05</v>
      </c>
      <c r="J18" s="435">
        <v>21961.9</v>
      </c>
    </row>
    <row r="19" spans="1:10">
      <c r="A19" s="433" t="s">
        <v>1062</v>
      </c>
      <c r="B19" s="435">
        <f t="shared" ref="B19:J19" si="1">B18/B21</f>
        <v>0.76342210079331108</v>
      </c>
      <c r="C19" s="435">
        <f t="shared" si="1"/>
        <v>0.948399814471243</v>
      </c>
      <c r="D19" s="435">
        <f t="shared" si="1"/>
        <v>1.0230791013781386</v>
      </c>
      <c r="E19" s="435">
        <f t="shared" si="1"/>
        <v>1.0301011995214846</v>
      </c>
      <c r="F19" s="435">
        <f t="shared" si="1"/>
        <v>1.3711589113257243</v>
      </c>
      <c r="G19" s="435">
        <f t="shared" si="1"/>
        <v>1.7060151868579083</v>
      </c>
      <c r="H19" s="435">
        <f t="shared" si="1"/>
        <v>2.028141865844256</v>
      </c>
      <c r="I19" s="435">
        <f t="shared" si="1"/>
        <v>1.8883342840844264</v>
      </c>
      <c r="J19" s="435">
        <f t="shared" si="1"/>
        <v>1.1625342748552252</v>
      </c>
    </row>
    <row r="20" spans="1:10">
      <c r="B20" s="434"/>
      <c r="C20" s="434"/>
      <c r="D20" s="434"/>
      <c r="E20" s="434"/>
      <c r="F20" s="434"/>
      <c r="G20" s="434"/>
      <c r="H20" s="434"/>
      <c r="I20" s="434"/>
      <c r="J20" s="434"/>
    </row>
    <row r="21" spans="1:10">
      <c r="A21" s="433" t="s">
        <v>1061</v>
      </c>
      <c r="B21" s="432">
        <v>3037.9</v>
      </c>
      <c r="C21" s="432">
        <v>3449.6</v>
      </c>
      <c r="D21" s="432">
        <v>3178.2</v>
      </c>
      <c r="E21" s="432">
        <v>3092.9</v>
      </c>
      <c r="F21" s="432">
        <v>2733.6</v>
      </c>
      <c r="G21" s="432">
        <v>2014.9</v>
      </c>
      <c r="H21" s="432">
        <v>1037.5999999999999</v>
      </c>
      <c r="I21" s="432">
        <v>350.6</v>
      </c>
      <c r="J21" s="432">
        <v>18891.400000000001</v>
      </c>
    </row>
    <row r="23" spans="1:10" ht="14.15">
      <c r="A23" s="145"/>
    </row>
    <row r="24" spans="1:10">
      <c r="A24" s="175" t="s">
        <v>1060</v>
      </c>
    </row>
    <row r="25" spans="1:10">
      <c r="A25" s="431" t="s">
        <v>1059</v>
      </c>
    </row>
    <row r="26" spans="1:10">
      <c r="A26" s="431" t="s">
        <v>1058</v>
      </c>
    </row>
    <row r="29" spans="1:10">
      <c r="A29" s="428" t="s">
        <v>1057</v>
      </c>
    </row>
    <row r="30" spans="1:10">
      <c r="B30" s="427" t="s">
        <v>1056</v>
      </c>
      <c r="C30" s="430" t="s">
        <v>1055</v>
      </c>
      <c r="D30" s="427" t="s">
        <v>1054</v>
      </c>
      <c r="E30" s="427" t="s">
        <v>1047</v>
      </c>
      <c r="F30" s="427" t="s">
        <v>1046</v>
      </c>
      <c r="G30" s="427" t="s">
        <v>1045</v>
      </c>
      <c r="H30" s="427" t="s">
        <v>1044</v>
      </c>
      <c r="I30" s="427" t="s">
        <v>1043</v>
      </c>
      <c r="J30" s="427"/>
    </row>
    <row r="31" spans="1:10">
      <c r="A31" s="175" t="s">
        <v>1053</v>
      </c>
      <c r="B31" s="175">
        <v>1.7</v>
      </c>
      <c r="C31" s="175">
        <v>4.3</v>
      </c>
      <c r="D31" s="175">
        <v>5.3</v>
      </c>
      <c r="E31" s="175">
        <v>7.9</v>
      </c>
      <c r="F31" s="175">
        <v>22.8</v>
      </c>
      <c r="G31" s="175">
        <v>27.2</v>
      </c>
      <c r="H31" s="175">
        <v>14.7</v>
      </c>
      <c r="I31" s="175">
        <v>16</v>
      </c>
    </row>
    <row r="32" spans="1:10">
      <c r="A32" s="175" t="s">
        <v>1052</v>
      </c>
      <c r="B32" s="429">
        <f t="shared" ref="B32:I32" si="2">B31/100*$B$33</f>
        <v>1655.7660000000001</v>
      </c>
      <c r="C32" s="429">
        <f t="shared" si="2"/>
        <v>4188.1139999999996</v>
      </c>
      <c r="D32" s="429">
        <f t="shared" si="2"/>
        <v>5162.0940000000001</v>
      </c>
      <c r="E32" s="429">
        <f t="shared" si="2"/>
        <v>7694.442</v>
      </c>
      <c r="F32" s="429">
        <f t="shared" si="2"/>
        <v>22206.744000000002</v>
      </c>
      <c r="G32" s="429">
        <f t="shared" si="2"/>
        <v>26492.256000000001</v>
      </c>
      <c r="H32" s="429">
        <f t="shared" si="2"/>
        <v>14317.505999999999</v>
      </c>
      <c r="I32" s="429">
        <f t="shared" si="2"/>
        <v>15583.68</v>
      </c>
    </row>
    <row r="33" spans="1:11">
      <c r="A33" s="175" t="s">
        <v>1051</v>
      </c>
      <c r="B33" s="175">
        <v>97398</v>
      </c>
    </row>
    <row r="34" spans="1:11">
      <c r="A34" s="175" t="s">
        <v>1050</v>
      </c>
      <c r="D34" s="426"/>
      <c r="E34" s="426">
        <f>E32/SUM($E32:$I32)*100</f>
        <v>8.9164785553047405</v>
      </c>
      <c r="F34" s="426">
        <f>F32/SUM($E32:$I32)*100</f>
        <v>25.733634311512422</v>
      </c>
      <c r="G34" s="426">
        <f>G32/SUM($E32:$I32)*100</f>
        <v>30.699774266365694</v>
      </c>
      <c r="H34" s="426">
        <f>H32/SUM($E32:$I32)*100</f>
        <v>16.591422121896162</v>
      </c>
      <c r="I34" s="426">
        <f>I32/SUM($E32:$I32)*100</f>
        <v>18.058690744920995</v>
      </c>
    </row>
    <row r="35" spans="1:11">
      <c r="D35" s="426"/>
      <c r="E35" s="426"/>
      <c r="F35" s="426"/>
      <c r="G35" s="426"/>
      <c r="H35" s="426"/>
      <c r="I35" s="426"/>
    </row>
    <row r="36" spans="1:11">
      <c r="D36" s="426"/>
      <c r="E36" s="426"/>
      <c r="F36" s="426"/>
      <c r="G36" s="426"/>
      <c r="H36" s="426"/>
      <c r="I36" s="426"/>
    </row>
    <row r="37" spans="1:11">
      <c r="A37" s="428" t="s">
        <v>1049</v>
      </c>
      <c r="D37" s="426"/>
      <c r="E37" s="426"/>
      <c r="F37" s="426"/>
      <c r="G37" s="426"/>
      <c r="H37" s="426"/>
      <c r="I37" s="426"/>
    </row>
    <row r="38" spans="1:11">
      <c r="A38" s="175" t="s">
        <v>1048</v>
      </c>
    </row>
    <row r="39" spans="1:11">
      <c r="B39" s="427" t="s">
        <v>1047</v>
      </c>
      <c r="C39" s="427" t="s">
        <v>1046</v>
      </c>
      <c r="D39" s="427" t="s">
        <v>1045</v>
      </c>
      <c r="E39" s="427" t="s">
        <v>1044</v>
      </c>
      <c r="F39" s="427" t="s">
        <v>1043</v>
      </c>
    </row>
    <row r="40" spans="1:11">
      <c r="A40" s="175" t="s">
        <v>1042</v>
      </c>
      <c r="B40" s="426">
        <f>E34</f>
        <v>8.9164785553047405</v>
      </c>
      <c r="C40" s="426">
        <f>F34</f>
        <v>25.733634311512422</v>
      </c>
      <c r="D40" s="426">
        <f>G34</f>
        <v>30.699774266365694</v>
      </c>
      <c r="E40" s="426">
        <f>H34</f>
        <v>16.591422121896162</v>
      </c>
      <c r="F40" s="426">
        <f>I34</f>
        <v>18.058690744920995</v>
      </c>
    </row>
    <row r="41" spans="1:11">
      <c r="A41" s="175" t="s">
        <v>1041</v>
      </c>
      <c r="B41" s="426">
        <f>B15</f>
        <v>12.174235598434157</v>
      </c>
      <c r="C41" s="426">
        <f>C15</f>
        <v>29.443329313007087</v>
      </c>
      <c r="D41" s="426">
        <f>D15</f>
        <v>30.630276678193553</v>
      </c>
      <c r="E41" s="426">
        <f>E15</f>
        <v>14.832918680030685</v>
      </c>
      <c r="F41" s="426">
        <f>F15</f>
        <v>12.919239730334512</v>
      </c>
    </row>
    <row r="43" spans="1:11">
      <c r="A43" s="175" t="s">
        <v>1040</v>
      </c>
      <c r="B43" s="175">
        <f>SUM(E31:I31)</f>
        <v>88.600000000000009</v>
      </c>
    </row>
    <row r="45" spans="1:11">
      <c r="A45" s="424" t="s">
        <v>1039</v>
      </c>
      <c r="B45" s="424"/>
      <c r="C45" s="424"/>
      <c r="D45" s="424"/>
      <c r="E45" s="424"/>
      <c r="F45" s="424"/>
      <c r="G45" s="424"/>
      <c r="H45" s="424"/>
      <c r="I45" s="424"/>
      <c r="J45" s="424"/>
      <c r="K45" s="424"/>
    </row>
    <row r="46" spans="1:11">
      <c r="A46" s="424"/>
      <c r="B46" s="424" t="s">
        <v>1017</v>
      </c>
      <c r="C46" s="416" t="s">
        <v>26</v>
      </c>
      <c r="D46" s="416" t="s">
        <v>27</v>
      </c>
      <c r="E46" s="416" t="s">
        <v>28</v>
      </c>
      <c r="F46" s="416" t="s">
        <v>29</v>
      </c>
      <c r="G46" s="416" t="s">
        <v>30</v>
      </c>
      <c r="H46" s="416" t="s">
        <v>31</v>
      </c>
      <c r="I46" s="416" t="s">
        <v>33</v>
      </c>
      <c r="J46" s="416" t="s">
        <v>1013</v>
      </c>
      <c r="K46" s="424"/>
    </row>
    <row r="47" spans="1:11">
      <c r="A47" s="424" t="s">
        <v>1016</v>
      </c>
      <c r="B47" s="425">
        <f>100-B43</f>
        <v>11.399999999999991</v>
      </c>
      <c r="C47" s="425">
        <f t="shared" ref="C47:J47" si="3">$B$43/100*B11</f>
        <v>10.786372740212666</v>
      </c>
      <c r="D47" s="425">
        <f t="shared" si="3"/>
        <v>13.501877956942639</v>
      </c>
      <c r="E47" s="425">
        <f t="shared" si="3"/>
        <v>12.58491181438165</v>
      </c>
      <c r="F47" s="425">
        <f t="shared" si="3"/>
        <v>12.983668842178968</v>
      </c>
      <c r="G47" s="425">
        <f t="shared" si="3"/>
        <v>14.154756294700526</v>
      </c>
      <c r="H47" s="425">
        <f t="shared" si="3"/>
        <v>13.14196595050719</v>
      </c>
      <c r="I47" s="425">
        <f t="shared" si="3"/>
        <v>8.2973743501722481</v>
      </c>
      <c r="J47" s="425">
        <f t="shared" si="3"/>
        <v>3.149072050904135</v>
      </c>
      <c r="K47" s="424">
        <f>SUM(B47:J47)</f>
        <v>100</v>
      </c>
    </row>
  </sheetData>
  <hyperlinks>
    <hyperlink ref="A3" location="Contents!A1" display="(return to contents)"/>
  </hyperlinks>
  <pageMargins left="0.7" right="0.7" top="0.75" bottom="0.75" header="0.3" footer="0.3"/>
  <pageSetup paperSize="9"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A2" sqref="A2"/>
    </sheetView>
  </sheetViews>
  <sheetFormatPr defaultColWidth="8.69140625" defaultRowHeight="14.15"/>
  <cols>
    <col min="1" max="1" width="30" style="145" customWidth="1"/>
    <col min="2" max="8" width="10.3046875" style="145" customWidth="1"/>
    <col min="9" max="16384" width="8.69140625" style="145"/>
  </cols>
  <sheetData>
    <row r="1" spans="1:9" ht="15.45">
      <c r="A1" s="442" t="s">
        <v>1078</v>
      </c>
    </row>
    <row r="2" spans="1:9" ht="14.6">
      <c r="A2" s="9" t="s">
        <v>820</v>
      </c>
    </row>
    <row r="3" spans="1:9" ht="14.6">
      <c r="A3" s="9"/>
    </row>
    <row r="4" spans="1:9">
      <c r="A4" s="176" t="s">
        <v>535</v>
      </c>
    </row>
    <row r="5" spans="1:9">
      <c r="A5" s="176"/>
    </row>
    <row r="6" spans="1:9">
      <c r="A6" s="176" t="s">
        <v>536</v>
      </c>
    </row>
    <row r="7" spans="1:9">
      <c r="A7" s="177" t="s">
        <v>537</v>
      </c>
    </row>
    <row r="9" spans="1:9" ht="20.6">
      <c r="A9" s="178" t="s">
        <v>538</v>
      </c>
      <c r="B9" s="179" t="s">
        <v>539</v>
      </c>
      <c r="C9" s="179" t="s">
        <v>1011</v>
      </c>
      <c r="D9" s="179" t="s">
        <v>1010</v>
      </c>
      <c r="E9" s="179" t="s">
        <v>1009</v>
      </c>
      <c r="F9" s="179" t="s">
        <v>1008</v>
      </c>
      <c r="G9" s="179" t="s">
        <v>1007</v>
      </c>
      <c r="H9" s="179" t="s">
        <v>1006</v>
      </c>
      <c r="I9" s="179" t="s">
        <v>1077</v>
      </c>
    </row>
    <row r="10" spans="1:9">
      <c r="A10" s="180" t="s">
        <v>1076</v>
      </c>
      <c r="B10" s="441">
        <v>11423.566666666666</v>
      </c>
      <c r="C10" s="441">
        <v>1848.925</v>
      </c>
      <c r="D10" s="441">
        <v>2769.5499999999997</v>
      </c>
      <c r="E10" s="441">
        <v>2572.4583333333335</v>
      </c>
      <c r="F10" s="441">
        <v>2500.9666666666667</v>
      </c>
      <c r="G10" s="441">
        <v>1731.675</v>
      </c>
      <c r="H10" s="441">
        <v>446.98333333333335</v>
      </c>
      <c r="I10" s="441">
        <f>SUM(C10:H10)</f>
        <v>11870.558333333332</v>
      </c>
    </row>
    <row r="11" spans="1:9">
      <c r="A11" s="180" t="s">
        <v>1075</v>
      </c>
      <c r="B11" s="441">
        <v>7970.1750000000002</v>
      </c>
      <c r="C11" s="441">
        <v>871.10833333333323</v>
      </c>
      <c r="D11" s="441">
        <v>2154.2916666666665</v>
      </c>
      <c r="E11" s="441">
        <v>1893.3500000000001</v>
      </c>
      <c r="F11" s="441">
        <v>1871.1000000000001</v>
      </c>
      <c r="G11" s="441">
        <v>1180.3333333333333</v>
      </c>
      <c r="H11" s="441">
        <v>194.96666666666667</v>
      </c>
      <c r="I11" s="441">
        <f>SUM(C11:H11)</f>
        <v>8165.15</v>
      </c>
    </row>
    <row r="12" spans="1:9">
      <c r="A12" s="180" t="s">
        <v>1074</v>
      </c>
      <c r="B12" s="441">
        <v>3453.3916666666664</v>
      </c>
      <c r="C12" s="441">
        <v>977.81666666666661</v>
      </c>
      <c r="D12" s="441">
        <v>615.25833333333333</v>
      </c>
      <c r="E12" s="441">
        <v>679.10833333333335</v>
      </c>
      <c r="F12" s="441">
        <v>629.86666666666667</v>
      </c>
      <c r="G12" s="441">
        <v>551.3416666666667</v>
      </c>
      <c r="H12" s="441">
        <v>252.01666666666665</v>
      </c>
      <c r="I12" s="441">
        <f>SUM(C12:H12)</f>
        <v>3705.4083333333338</v>
      </c>
    </row>
    <row r="13" spans="1:9" ht="20.6">
      <c r="A13" s="180" t="s">
        <v>1073</v>
      </c>
      <c r="B13" s="441">
        <v>376252.79166666669</v>
      </c>
      <c r="C13" s="441">
        <v>47808.741666666669</v>
      </c>
      <c r="D13" s="441">
        <v>95674.016666666663</v>
      </c>
      <c r="E13" s="441">
        <v>88700.791666666672</v>
      </c>
      <c r="F13" s="441">
        <v>87345.516666666663</v>
      </c>
      <c r="G13" s="441">
        <v>56723.724999999999</v>
      </c>
      <c r="H13" s="441">
        <v>11632.550000000001</v>
      </c>
      <c r="I13" s="441">
        <f>SUM(C13:H13)</f>
        <v>387885.34166666662</v>
      </c>
    </row>
    <row r="14" spans="1:9" ht="20.6">
      <c r="A14" s="181" t="s">
        <v>540</v>
      </c>
      <c r="B14" s="182">
        <v>32.9</v>
      </c>
      <c r="C14" s="182">
        <v>25.9</v>
      </c>
      <c r="D14" s="182">
        <v>34.5</v>
      </c>
      <c r="E14" s="182">
        <v>34.5</v>
      </c>
      <c r="F14" s="182">
        <v>34.9</v>
      </c>
      <c r="G14" s="182">
        <v>32.799999999999997</v>
      </c>
      <c r="H14" s="182">
        <v>26</v>
      </c>
      <c r="I14" s="182">
        <f>I13/I10</f>
        <v>32.67625083627771</v>
      </c>
    </row>
    <row r="16" spans="1:9">
      <c r="A16" s="176"/>
    </row>
    <row r="17" spans="1:8">
      <c r="A17" s="176"/>
    </row>
    <row r="18" spans="1:8">
      <c r="A18" s="176"/>
    </row>
    <row r="21" spans="1:8">
      <c r="B21" s="441"/>
      <c r="C21" s="441"/>
      <c r="D21" s="441"/>
      <c r="E21" s="441"/>
      <c r="F21" s="441"/>
      <c r="G21" s="441"/>
      <c r="H21" s="441"/>
    </row>
    <row r="22" spans="1:8">
      <c r="B22" s="441"/>
      <c r="C22" s="441"/>
      <c r="D22" s="441"/>
      <c r="E22" s="441"/>
      <c r="F22" s="441"/>
      <c r="G22" s="441"/>
      <c r="H22" s="441"/>
    </row>
    <row r="23" spans="1:8">
      <c r="B23" s="441"/>
      <c r="C23" s="441"/>
      <c r="D23" s="441"/>
      <c r="E23" s="441"/>
      <c r="F23" s="441"/>
      <c r="G23" s="441"/>
      <c r="H23" s="441"/>
    </row>
    <row r="24" spans="1:8">
      <c r="B24" s="441"/>
      <c r="C24" s="441"/>
      <c r="D24" s="441"/>
      <c r="E24" s="441"/>
      <c r="F24" s="441"/>
      <c r="G24" s="441"/>
      <c r="H24" s="441"/>
    </row>
    <row r="26" spans="1:8">
      <c r="B26" s="441"/>
      <c r="C26" s="441"/>
      <c r="D26" s="441"/>
      <c r="E26" s="441"/>
      <c r="F26" s="441"/>
      <c r="G26" s="441"/>
      <c r="H26" s="441"/>
    </row>
    <row r="27" spans="1:8">
      <c r="B27" s="441"/>
      <c r="C27" s="441"/>
      <c r="D27" s="441"/>
      <c r="E27" s="441"/>
      <c r="F27" s="441"/>
      <c r="G27" s="441"/>
      <c r="H27" s="441"/>
    </row>
    <row r="28" spans="1:8">
      <c r="B28" s="441"/>
      <c r="C28" s="441"/>
      <c r="D28" s="441"/>
      <c r="E28" s="441"/>
      <c r="F28" s="441"/>
      <c r="G28" s="441"/>
      <c r="H28" s="441"/>
    </row>
    <row r="29" spans="1:8">
      <c r="B29" s="441"/>
      <c r="C29" s="441"/>
      <c r="D29" s="441"/>
      <c r="E29" s="441"/>
      <c r="F29" s="441"/>
      <c r="G29" s="441"/>
      <c r="H29" s="441"/>
    </row>
  </sheetData>
  <hyperlinks>
    <hyperlink ref="A2" location="Contents!A1" display="(return to contents)"/>
  </hyperlink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64</vt:i4>
      </vt:variant>
    </vt:vector>
  </HeadingPairs>
  <TitlesOfParts>
    <vt:vector size="86" baseType="lpstr">
      <vt:lpstr>Contents</vt:lpstr>
      <vt:lpstr>Tables reported in Inquiry</vt:lpstr>
      <vt:lpstr>NPV calculations</vt:lpstr>
      <vt:lpstr>Main calculations</vt:lpstr>
      <vt:lpstr>Sensitivity calculations</vt:lpstr>
      <vt:lpstr>Inputs into calculations</vt:lpstr>
      <vt:lpstr>Inputs into time calculations</vt:lpstr>
      <vt:lpstr>for SP 5 Appendix B</vt:lpstr>
      <vt:lpstr>AIHW Hospital resources</vt:lpstr>
      <vt:lpstr>AIHW Health spending &amp; PC ests</vt:lpstr>
      <vt:lpstr>ABS Health Survey</vt:lpstr>
      <vt:lpstr>ABS CPI</vt:lpstr>
      <vt:lpstr>ABS earnings</vt:lpstr>
      <vt:lpstr>ABS Average weekly hours</vt:lpstr>
      <vt:lpstr>ABS demographic</vt:lpstr>
      <vt:lpstr>ABS Time use</vt:lpstr>
      <vt:lpstr>ABS occ wage</vt:lpstr>
      <vt:lpstr>ABS Leave entitlement</vt:lpstr>
      <vt:lpstr>Average time Haas et al</vt:lpstr>
      <vt:lpstr>Medicare data</vt:lpstr>
      <vt:lpstr>BEACH&amp;ABS</vt:lpstr>
      <vt:lpstr>ABS Hours worked by age group</vt:lpstr>
      <vt:lpstr>'AIHW Hospital resources'!_Toc382664794</vt:lpstr>
      <vt:lpstr>'AIHW Hospital resources'!_Toc421111357</vt:lpstr>
      <vt:lpstr>'AIHW Hospital resources'!_Toc447638322</vt:lpstr>
      <vt:lpstr>A2133244X</vt:lpstr>
      <vt:lpstr>A2133244X_Data</vt:lpstr>
      <vt:lpstr>A2133244X_Latest</vt:lpstr>
      <vt:lpstr>A2133245A</vt:lpstr>
      <vt:lpstr>A2133245A_Data</vt:lpstr>
      <vt:lpstr>A2133245A_Latest</vt:lpstr>
      <vt:lpstr>A2133246C</vt:lpstr>
      <vt:lpstr>A2133246C_Data</vt:lpstr>
      <vt:lpstr>A2133246C_Latest</vt:lpstr>
      <vt:lpstr>A2133247F</vt:lpstr>
      <vt:lpstr>A2133247F_Data</vt:lpstr>
      <vt:lpstr>A2133247F_Latest</vt:lpstr>
      <vt:lpstr>A2133248J</vt:lpstr>
      <vt:lpstr>A2133248J_Data</vt:lpstr>
      <vt:lpstr>A2133248J_Latest</vt:lpstr>
      <vt:lpstr>A2133249K</vt:lpstr>
      <vt:lpstr>A2133249K_Data</vt:lpstr>
      <vt:lpstr>A2133249K_Latest</vt:lpstr>
      <vt:lpstr>A2133250V</vt:lpstr>
      <vt:lpstr>A2133250V_Data</vt:lpstr>
      <vt:lpstr>A2133250V_Latest</vt:lpstr>
      <vt:lpstr>A2133251W</vt:lpstr>
      <vt:lpstr>A2133251W_Data</vt:lpstr>
      <vt:lpstr>A2133251W_Latest</vt:lpstr>
      <vt:lpstr>A2133252X</vt:lpstr>
      <vt:lpstr>A2133252X_Data</vt:lpstr>
      <vt:lpstr>A2133252X_Latest</vt:lpstr>
      <vt:lpstr>A2133253A</vt:lpstr>
      <vt:lpstr>A2133253A_Data</vt:lpstr>
      <vt:lpstr>A2133253A_Latest</vt:lpstr>
      <vt:lpstr>A2133254C</vt:lpstr>
      <vt:lpstr>A2133254C_Data</vt:lpstr>
      <vt:lpstr>A2133254C_Latest</vt:lpstr>
      <vt:lpstr>A2133255F</vt:lpstr>
      <vt:lpstr>A2133255F_Data</vt:lpstr>
      <vt:lpstr>A2133255F_Latest</vt:lpstr>
      <vt:lpstr>A2133256J</vt:lpstr>
      <vt:lpstr>A2133256J_Data</vt:lpstr>
      <vt:lpstr>A2133256J_Latest</vt:lpstr>
      <vt:lpstr>A85002148L</vt:lpstr>
      <vt:lpstr>A85002148L_Data</vt:lpstr>
      <vt:lpstr>A85002148L_Latest</vt:lpstr>
      <vt:lpstr>A85002151A</vt:lpstr>
      <vt:lpstr>A85002151A_Data</vt:lpstr>
      <vt:lpstr>A85002151A_Latest</vt:lpstr>
      <vt:lpstr>A85002157R</vt:lpstr>
      <vt:lpstr>A85002157R_Data</vt:lpstr>
      <vt:lpstr>A85002157R_Latest</vt:lpstr>
      <vt:lpstr>'ABS earnings'!Date_Range</vt:lpstr>
      <vt:lpstr>Date_Range</vt:lpstr>
      <vt:lpstr>'ABS earnings'!Date_Range_Data</vt:lpstr>
      <vt:lpstr>Date_Range_Data</vt:lpstr>
      <vt:lpstr>'NPV calculations'!DiscountRate</vt:lpstr>
      <vt:lpstr>'NPV calculations'!FirstYear</vt:lpstr>
      <vt:lpstr>From_work_share</vt:lpstr>
      <vt:lpstr>opportunity_cost</vt:lpstr>
      <vt:lpstr>'NPV calculations'!Print_Area</vt:lpstr>
      <vt:lpstr>Real_annual_growth_health</vt:lpstr>
      <vt:lpstr>'ABS occ wage'!TopOfTable_Table_5</vt:lpstr>
      <vt:lpstr>wage_rate_employed</vt:lpstr>
      <vt:lpstr>waste_minutes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2017-08-25T05:01:01Z</dcterms:created>
  <dcterms:modified xsi:type="dcterms:W3CDTF">2017-11-15T00:58:37Z</dcterms:modified>
</cp:coreProperties>
</file>